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FB72CF5-D717-4A13-8C32-E5A66218944B}" xr6:coauthVersionLast="47" xr6:coauthVersionMax="47" xr10:uidLastSave="{00000000-0000-0000-0000-000000000000}"/>
  <bookViews>
    <workbookView xWindow="14850" yWindow="765" windowWidth="13350" windowHeight="14625"/>
  </bookViews>
  <sheets>
    <sheet name="Active" sheetId="3" r:id="rId1"/>
    <sheet name="A" sheetId="2" r:id="rId2"/>
  </sheets>
  <calcPr calcId="181029"/>
</workbook>
</file>

<file path=xl/calcChain.xml><?xml version="1.0" encoding="utf-8"?>
<calcChain xmlns="http://schemas.openxmlformats.org/spreadsheetml/2006/main">
  <c r="E41" i="3" l="1"/>
  <c r="F41" i="3" s="1"/>
  <c r="G41" i="3" s="1"/>
  <c r="N41" i="3" s="1"/>
  <c r="Q41" i="3"/>
  <c r="E40" i="3"/>
  <c r="F40" i="3"/>
  <c r="G40" i="3"/>
  <c r="N40" i="3"/>
  <c r="F25" i="3"/>
  <c r="G25" i="3"/>
  <c r="I25" i="3"/>
  <c r="E29" i="3"/>
  <c r="F29" i="3"/>
  <c r="G29" i="3"/>
  <c r="J29" i="3"/>
  <c r="E30" i="3"/>
  <c r="F30" i="3"/>
  <c r="G30" i="3"/>
  <c r="N30" i="3"/>
  <c r="E31" i="3"/>
  <c r="F31" i="3"/>
  <c r="G31" i="3"/>
  <c r="J31" i="3"/>
  <c r="E32" i="3"/>
  <c r="F32" i="3"/>
  <c r="G32" i="3"/>
  <c r="N32" i="3"/>
  <c r="E33" i="3"/>
  <c r="F33" i="3"/>
  <c r="G33" i="3"/>
  <c r="J33" i="3"/>
  <c r="E34" i="3"/>
  <c r="F34" i="3"/>
  <c r="G34" i="3"/>
  <c r="J34" i="3"/>
  <c r="E35" i="3"/>
  <c r="F35" i="3"/>
  <c r="G35" i="3"/>
  <c r="K35" i="3"/>
  <c r="E36" i="3"/>
  <c r="F36" i="3"/>
  <c r="G36" i="3"/>
  <c r="J36" i="3"/>
  <c r="E37" i="3"/>
  <c r="F37" i="3"/>
  <c r="G37" i="3"/>
  <c r="N37" i="3"/>
  <c r="E38" i="3"/>
  <c r="F38" i="3"/>
  <c r="G38" i="3"/>
  <c r="N38" i="3"/>
  <c r="E39" i="3"/>
  <c r="F39" i="3"/>
  <c r="G39" i="3"/>
  <c r="N39" i="3"/>
  <c r="Q40" i="3"/>
  <c r="F11" i="3"/>
  <c r="Q39" i="3"/>
  <c r="E21" i="3"/>
  <c r="F21" i="3"/>
  <c r="G21" i="3"/>
  <c r="I21" i="3"/>
  <c r="E22" i="3"/>
  <c r="F22" i="3"/>
  <c r="G22" i="3"/>
  <c r="H22" i="3"/>
  <c r="E23" i="3"/>
  <c r="F23" i="3"/>
  <c r="G23" i="3"/>
  <c r="I23" i="3"/>
  <c r="E24" i="3"/>
  <c r="F24" i="3"/>
  <c r="G24" i="3"/>
  <c r="I24" i="3"/>
  <c r="E25" i="3"/>
  <c r="E26" i="3"/>
  <c r="F26" i="3"/>
  <c r="G26" i="3"/>
  <c r="I26" i="3"/>
  <c r="E27" i="3"/>
  <c r="F27" i="3"/>
  <c r="G27" i="3"/>
  <c r="J27" i="3"/>
  <c r="E28" i="3"/>
  <c r="F28" i="3"/>
  <c r="G28" i="3"/>
  <c r="J28" i="3"/>
  <c r="G11" i="3"/>
  <c r="Q38" i="3"/>
  <c r="E14" i="3"/>
  <c r="C17" i="3"/>
  <c r="Q37" i="3"/>
  <c r="Q32" i="3"/>
  <c r="Q30" i="3"/>
  <c r="Q36" i="3"/>
  <c r="Q31" i="3"/>
  <c r="Q34" i="3"/>
  <c r="Q33" i="3"/>
  <c r="Q35" i="3"/>
  <c r="Q29" i="3"/>
  <c r="Q21" i="3"/>
  <c r="Q22" i="3"/>
  <c r="Q23" i="3"/>
  <c r="Q24" i="3"/>
  <c r="Q25" i="3"/>
  <c r="Q26" i="3"/>
  <c r="Q27" i="3"/>
  <c r="Q28" i="3"/>
  <c r="C19" i="2"/>
  <c r="E28" i="2"/>
  <c r="F28" i="2"/>
  <c r="G28" i="2"/>
  <c r="J28" i="2"/>
  <c r="Q28" i="2"/>
  <c r="E27" i="2"/>
  <c r="F27" i="2"/>
  <c r="G27" i="2"/>
  <c r="J27" i="2"/>
  <c r="E21" i="2"/>
  <c r="F21" i="2"/>
  <c r="G21" i="2"/>
  <c r="E22" i="2"/>
  <c r="F22" i="2"/>
  <c r="G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C18" i="2"/>
  <c r="Q21" i="2"/>
  <c r="Q22" i="2"/>
  <c r="Q23" i="2"/>
  <c r="Q24" i="2"/>
  <c r="Q25" i="2"/>
  <c r="I26" i="2"/>
  <c r="Q26" i="2"/>
  <c r="Q27" i="2"/>
  <c r="C12" i="2"/>
  <c r="C16" i="2"/>
  <c r="D18" i="2"/>
  <c r="H22" i="2"/>
  <c r="C11" i="2"/>
  <c r="I21" i="2"/>
  <c r="O24" i="2"/>
  <c r="O22" i="2"/>
  <c r="O28" i="2"/>
  <c r="O26" i="2"/>
  <c r="O21" i="2"/>
  <c r="O27" i="2"/>
  <c r="O25" i="2"/>
  <c r="O23" i="2"/>
  <c r="C12" i="3"/>
  <c r="C16" i="3" l="1"/>
  <c r="D18" i="3" s="1"/>
  <c r="E15" i="3"/>
  <c r="C11" i="3"/>
  <c r="O41" i="3" l="1"/>
  <c r="O28" i="3"/>
  <c r="O29" i="3"/>
  <c r="O38" i="3"/>
  <c r="O25" i="3"/>
  <c r="C15" i="3"/>
  <c r="O37" i="3"/>
  <c r="O40" i="3"/>
  <c r="O23" i="3"/>
  <c r="O32" i="3"/>
  <c r="O31" i="3"/>
  <c r="O39" i="3"/>
  <c r="O21" i="3"/>
  <c r="O24" i="3"/>
  <c r="O35" i="3"/>
  <c r="O27" i="3"/>
  <c r="O36" i="3"/>
  <c r="O33" i="3"/>
  <c r="O22" i="3"/>
  <c r="O30" i="3"/>
  <c r="O34" i="3"/>
  <c r="O26" i="3"/>
  <c r="C18" i="3" l="1"/>
  <c r="E16" i="3"/>
  <c r="E17" i="3" s="1"/>
</calcChain>
</file>

<file path=xl/sharedStrings.xml><?xml version="1.0" encoding="utf-8"?>
<sst xmlns="http://schemas.openxmlformats.org/spreadsheetml/2006/main" count="155" uniqueCount="66">
  <si>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</si>
  <si>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</si>
  <si>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</si>
  <si>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</si>
  <si>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</si>
  <si>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</si>
  <si>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</si>
  <si>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</si>
  <si>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</si>
  <si>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</si>
  <si>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</si>
  <si>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</si>
  <si>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</si>
  <si>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</si>
  <si>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</si>
  <si>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</si>
  <si>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</si>
  <si>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</si>
  <si>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</si>
  <si>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</si>
  <si>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</si>
  <si>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</si>
  <si>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</si>
  <si>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</si>
  <si>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</si>
  <si>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</si>
  <si>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</si>
  <si>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</si>
  <si>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</si>
  <si>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</si>
  <si>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</t>
  </si>
  <si>
    <t>BBSAG</t>
  </si>
  <si>
    <t>IZ Aur</t>
  </si>
  <si>
    <t>Diethelm R</t>
  </si>
  <si>
    <t>BBSAG Bull.117</t>
  </si>
  <si>
    <t>Blaettler E</t>
  </si>
  <si>
    <t>II</t>
  </si>
  <si>
    <t>IBVS 4586</t>
  </si>
  <si>
    <t>I</t>
  </si>
  <si>
    <t>IBVS 5583</t>
  </si>
  <si>
    <t>IBVS 5643</t>
  </si>
  <si>
    <t>EA</t>
  </si>
  <si>
    <t>IZ Aur / GSC 3373-0518</t>
  </si>
  <si>
    <t>IBVS 5653</t>
  </si>
  <si>
    <t>IBVS</t>
  </si>
  <si>
    <t># of data points:</t>
  </si>
  <si>
    <t>Nelson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</si>
  <si>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</si>
  <si>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</si>
  <si>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</si>
  <si>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</si>
  <si>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</si>
  <si>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</si>
  <si>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5781</t>
  </si>
  <si>
    <t>IBVS 5802</t>
  </si>
  <si>
    <t>Start of linear fit &gt;&gt;&gt;&gt;&gt;&gt;&gt;&gt;&gt;&gt;&gt;&gt;&gt;&gt;&gt;&gt;&gt;&gt;&gt;&gt;&gt;</t>
  </si>
  <si>
    <t>IBVS 5820</t>
  </si>
  <si>
    <t>IBVS 5871</t>
  </si>
  <si>
    <t>OEJV 0107</t>
  </si>
  <si>
    <t>OEJV 0137</t>
  </si>
  <si>
    <t>Add cycle</t>
  </si>
  <si>
    <t>Old Cycle</t>
  </si>
  <si>
    <t>IBVS 5992</t>
  </si>
  <si>
    <t>IBVS 6029</t>
  </si>
  <si>
    <t>IBVS 6063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</si>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</sst>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9" formatCode="0.000000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NumberFormat="1" applyAlignment="1"/>
    <xf numFmtId="0" fontId="5" fillId="0" borderId="5" xfId="0" applyFont="1" applyBorder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1" fillId="0" borderId="0" xfId="0" applyFont="1" applyAlignment="1">
      <alignment horizontal="right"/>
    </xf>
    <xf numFmtId="0" fontId="17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8" fillId="0" borderId="0" xfId="0" applyFont="1" applyAlignment="1"/>
    <xf numFmtId="0" fontId="16" fillId="0" borderId="0" xfId="0" applyFont="1" applyAlignment="1">
      <alignment horizontal="center"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9" fontId="20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IZ Aur - O-C Diagr.</a:t>
            </a:r>
          </a:p>
        </c:rich>
      </c:tx>
      <c:layout>
        <c:manualLayout>
          <c:xMode val="edge"/>
          <c:yMode val="edge"/>
          <c:x val="0.3717954486458423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696476320106"/>
          <c:y val="0.14906854902912253"/>
          <c:w val="0.77838967059736752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 4586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Active!$H$21:$H$980</c:f>
              <c:numCache>
                <c:formatCode>General</c:formatCode>
                <c:ptCount val="960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8E-454B-B3D1-D10D07FB79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Active!$D$21:$D$980</c:f>
                <c:numCache>
                  <c:formatCode>General</c:formatCode>
                  <c:ptCount val="9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Active!$D$21:$D$980</c:f>
                <c:numCache>
                  <c:formatCode>General</c:formatCode>
                  <c:ptCount val="9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Active!$I$21:$I$980</c:f>
              <c:numCache>
                <c:formatCode>General</c:formatCode>
                <c:ptCount val="960"/>
                <c:pt idx="0">
                  <c:v>-3.5809815963148139E-3</c:v>
                </c:pt>
                <c:pt idx="2">
                  <c:v>2.9999999969732016E-4</c:v>
                </c:pt>
                <c:pt idx="3">
                  <c:v>3.5067478893324733E-4</c:v>
                </c:pt>
                <c:pt idx="4">
                  <c:v>-1.4723936328664422E-4</c:v>
                </c:pt>
                <c:pt idx="5">
                  <c:v>1.5527606374234892E-3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8E-454B-B3D1-D10D07FB79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Active!$J$21:$J$980</c:f>
              <c:numCache>
                <c:formatCode>General</c:formatCode>
                <c:ptCount val="960"/>
                <c:pt idx="6">
                  <c:v>-1.1088400933658704E-3</c:v>
                </c:pt>
                <c:pt idx="7">
                  <c:v>2.1287496929289773E-4</c:v>
                </c:pt>
                <c:pt idx="8">
                  <c:v>1.3569222137448378E-3</c:v>
                </c:pt>
                <c:pt idx="10">
                  <c:v>-1.2465157415135764E-3</c:v>
                </c:pt>
                <c:pt idx="12">
                  <c:v>-3.5326510987943038E-3</c:v>
                </c:pt>
                <c:pt idx="13">
                  <c:v>-1.9876205042237416E-3</c:v>
                </c:pt>
                <c:pt idx="15">
                  <c:v>-1.90568040125072E-4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8E-454B-B3D1-D10D07FB79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Active!$K$21:$K$980</c:f>
              <c:numCache>
                <c:formatCode>General</c:formatCode>
                <c:ptCount val="960"/>
                <c:pt idx="14">
                  <c:v>-1.5693383393227123E-3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8E-454B-B3D1-D10D07FB79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Active!$L$21:$L$980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8E-454B-B3D1-D10D07FB79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Active!$M$21:$M$980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8E-454B-B3D1-D10D07FB79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Active!$N$21:$N$980</c:f>
              <c:numCache>
                <c:formatCode>General</c:formatCode>
                <c:ptCount val="960"/>
                <c:pt idx="9">
                  <c:v>1.8459002603776753E-4</c:v>
                </c:pt>
                <c:pt idx="11">
                  <c:v>-1.0619145978125744E-3</c:v>
                </c:pt>
                <c:pt idx="16">
                  <c:v>-3.0129631923045963E-3</c:v>
                </c:pt>
                <c:pt idx="17">
                  <c:v>-3.2740067545091733E-3</c:v>
                </c:pt>
                <c:pt idx="18">
                  <c:v>-3.8635788077954203E-3</c:v>
                </c:pt>
                <c:pt idx="19">
                  <c:v>3.9617434231331572E-4</c:v>
                </c:pt>
                <c:pt idx="20">
                  <c:v>9.4106409524101764E-3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8E-454B-B3D1-D10D07FB79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Active!$O$21:$O$980</c:f>
              <c:numCache>
                <c:formatCode>General</c:formatCode>
                <c:ptCount val="960"/>
                <c:pt idx="0">
                  <c:v>-1.4159276951416523E-3</c:v>
                </c:pt>
                <c:pt idx="1">
                  <c:v>-1.4152920841686832E-3</c:v>
                </c:pt>
                <c:pt idx="2">
                  <c:v>-1.4152920841686832E-3</c:v>
                </c:pt>
                <c:pt idx="3">
                  <c:v>-1.4109699295524929E-3</c:v>
                </c:pt>
                <c:pt idx="4">
                  <c:v>-1.4070291415200842E-3</c:v>
                </c:pt>
                <c:pt idx="5">
                  <c:v>-1.4070291415200842E-3</c:v>
                </c:pt>
                <c:pt idx="6">
                  <c:v>-9.444314753931345E-4</c:v>
                </c:pt>
                <c:pt idx="7">
                  <c:v>-7.2056929071339889E-4</c:v>
                </c:pt>
                <c:pt idx="8">
                  <c:v>-5.7031085670349111E-4</c:v>
                </c:pt>
                <c:pt idx="9">
                  <c:v>-4.9670710603366317E-4</c:v>
                </c:pt>
                <c:pt idx="10">
                  <c:v>-3.7568677678033631E-4</c:v>
                </c:pt>
                <c:pt idx="11">
                  <c:v>-3.6882217827226955E-4</c:v>
                </c:pt>
                <c:pt idx="12">
                  <c:v>-3.4339773935350339E-4</c:v>
                </c:pt>
                <c:pt idx="13">
                  <c:v>-3.3755011840218719E-4</c:v>
                </c:pt>
                <c:pt idx="14">
                  <c:v>-3.3348220817518474E-4</c:v>
                </c:pt>
                <c:pt idx="15">
                  <c:v>-1.1152685641435634E-4</c:v>
                </c:pt>
                <c:pt idx="16">
                  <c:v>9.542807638439994E-5</c:v>
                </c:pt>
                <c:pt idx="17">
                  <c:v>1.4525997666518147E-4</c:v>
                </c:pt>
                <c:pt idx="18">
                  <c:v>2.6856850542119714E-4</c:v>
                </c:pt>
                <c:pt idx="19">
                  <c:v>3.8755487956102256E-4</c:v>
                </c:pt>
                <c:pt idx="20">
                  <c:v>1.3656330447659555E-3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8E-454B-B3D1-D10D07FB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383400"/>
        <c:axId val="1"/>
      </c:scatterChart>
      <c:valAx>
        <c:axId val="471383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0499072231363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13553113553112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383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9597261880726444E-2"/>
          <c:y val="0.91925596256989606"/>
          <c:w val="0.9230786536298347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IZ Aur - O-C Diagr.</a:t>
            </a:r>
          </a:p>
        </c:rich>
      </c:tx>
      <c:layout>
        <c:manualLayout>
          <c:xMode val="edge"/>
          <c:yMode val="edge"/>
          <c:x val="0.35537233465651502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85958167167895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IBVS 4586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D-4F3C-99D9-B66247B3E029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A!$D$21:$D$993</c:f>
                <c:numCache>
                  <c:formatCode>General</c:formatCode>
                  <c:ptCount val="9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A!$D$21:$D$993</c:f>
                <c:numCache>
                  <c:formatCode>General</c:formatCode>
                  <c:ptCount val="9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A!$I$21:$I$993</c:f>
              <c:numCache>
                <c:formatCode>General</c:formatCode>
                <c:ptCount val="973"/>
                <c:pt idx="0">
                  <c:v>-3.2475000043632463E-3</c:v>
                </c:pt>
                <c:pt idx="2">
                  <c:v>2.9999999969732016E-4</c:v>
                </c:pt>
                <c:pt idx="3">
                  <c:v>-1.9170000014128163E-3</c:v>
                </c:pt>
                <c:pt idx="4">
                  <c:v>-4.4825000004493631E-3</c:v>
                </c:pt>
                <c:pt idx="5">
                  <c:v>-2.7824999997392297E-3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7D-4F3C-99D9-B66247B3E029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A!$J$21:$J$993</c:f>
              <c:numCache>
                <c:formatCode>General</c:formatCode>
                <c:ptCount val="973"/>
                <c:pt idx="6">
                  <c:v>-0.24815200000011828</c:v>
                </c:pt>
                <c:pt idx="7">
                  <c:v>-0.36428249999880791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7D-4F3C-99D9-B66247B3E029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7D-4F3C-99D9-B66247B3E029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7D-4F3C-99D9-B66247B3E029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7D-4F3C-99D9-B66247B3E029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7D-4F3C-99D9-B66247B3E029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A!$O$21:$O$993</c:f>
              <c:numCache>
                <c:formatCode>General</c:formatCode>
                <c:ptCount val="973"/>
                <c:pt idx="0">
                  <c:v>3.0887755838839655E-5</c:v>
                </c:pt>
                <c:pt idx="1">
                  <c:v>-3.025938315073945E-4</c:v>
                </c:pt>
                <c:pt idx="2">
                  <c:v>-3.025938315073945E-4</c:v>
                </c:pt>
                <c:pt idx="3">
                  <c:v>-2.5702686254617866E-3</c:v>
                </c:pt>
                <c:pt idx="4">
                  <c:v>-4.6378544670084383E-3</c:v>
                </c:pt>
                <c:pt idx="5">
                  <c:v>-4.6378544670084383E-3</c:v>
                </c:pt>
                <c:pt idx="6">
                  <c:v>-0.24734575373759765</c:v>
                </c:pt>
                <c:pt idx="7">
                  <c:v>-0.36479796880094129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7D-4F3C-99D9-B66247B3E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848400"/>
        <c:axId val="1"/>
      </c:scatterChart>
      <c:valAx>
        <c:axId val="478848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848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4462809917355372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14</xdr:col>
      <xdr:colOff>66675</xdr:colOff>
      <xdr:row>18</xdr:row>
      <xdr:rowOff>19050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43DEC363-B8D5-C4AA-60E6-05DFB4C27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5F0E9D10-6A01-391D-3968-DF5101AE0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/>
  <cols>
    <col min="1" max="1" width="14.42578125" customWidth="1"/>
    <col min="2" max="2" width="5.140625" customWidth="1"/>
    <col min="3" max="3" width="13.71093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42</v>
      </c>
      <c r="B1" s="21"/>
      <c r="C1" s="22"/>
    </row>
    <row r="2" spans="1:7">
      <c r="A2" t="s">
        <v>26</v>
      </c>
      <c r="B2" s="20" t="s">
        <v>41</v>
      </c>
    </row>
    <row r="4" spans="1:7">
      <c r="A4" s="8" t="s">
        <v>0</v>
      </c>
      <c r="C4" s="13" t="s">
        <v>13</v>
      </c>
      <c r="D4" s="14" t="s">
        <v>13</v>
      </c>
    </row>
    <row r="6" spans="1:7">
      <c r="A6" s="8" t="s">
        <v>1</v>
      </c>
    </row>
    <row r="7" spans="1:7">
      <c r="A7" t="s">
        <v>2</v>
      </c>
      <c r="C7" s="12">
        <v>50846.273500000003</v>
      </c>
    </row>
    <row r="8" spans="1:7">
      <c r="A8" t="s">
        <v>3</v>
      </c>
      <c r="C8" s="12">
        <v>0.77116760736506151</v>
      </c>
    </row>
    <row r="9" spans="1:7">
      <c r="A9" s="25" t="s">
        <v>47</v>
      </c>
      <c r="B9" s="26"/>
      <c r="C9" s="27">
        <v>-9.5</v>
      </c>
      <c r="D9" s="26" t="s">
        <v>48</v>
      </c>
      <c r="E9" s="26"/>
    </row>
    <row r="10" spans="1:7" ht="13.5" thickBot="1">
      <c r="A10" s="26"/>
      <c r="B10" s="26"/>
      <c r="C10" s="7" t="s">
        <v>21</v>
      </c>
      <c r="D10" s="7" t="s">
        <v>22</v>
      </c>
      <c r="E10" s="26"/>
    </row>
    <row r="11" spans="1:7">
      <c r="A11" s="26" t="s">
        <v>15</v>
      </c>
      <c r="B11" s="26"/>
      <c r="C11" s="28">
        <f ca="1">INTERCEPT(INDIRECT($G$11):G982,INDIRECT($F$11):F982)</f>
        <v>-1.4152920841686832E-3</v>
      </c>
      <c r="D11" s="6"/>
      <c r="E11" s="26"/>
      <c r="F11" s="29" t="str">
        <f>"F"&amp;E19</f>
        <v>F21</v>
      </c>
      <c r="G11" s="17" t="str">
        <f>"G"&amp;E19</f>
        <v>G21</v>
      </c>
    </row>
    <row r="12" spans="1:7">
      <c r="A12" s="26" t="s">
        <v>16</v>
      </c>
      <c r="B12" s="26"/>
      <c r="C12" s="28">
        <f ca="1">SLOPE(INDIRECT($G$11):G982,INDIRECT($F$11):F982)</f>
        <v>2.5424438918766123E-7</v>
      </c>
      <c r="D12" s="6"/>
      <c r="E12" s="26"/>
    </row>
    <row r="13" spans="1:7">
      <c r="A13" s="26" t="s">
        <v>20</v>
      </c>
      <c r="B13" s="26"/>
      <c r="C13" s="6" t="s">
        <v>13</v>
      </c>
      <c r="D13" s="32" t="s">
        <v>60</v>
      </c>
      <c r="E13" s="27">
        <v>1</v>
      </c>
    </row>
    <row r="14" spans="1:7">
      <c r="A14" s="26"/>
      <c r="B14" s="26"/>
      <c r="C14" s="26"/>
      <c r="D14" s="32" t="s">
        <v>49</v>
      </c>
      <c r="E14" s="33">
        <f ca="1">NOW()+15018.5+$C$9/24</f>
        <v>60169.806490046292</v>
      </c>
    </row>
    <row r="15" spans="1:7">
      <c r="A15" s="30" t="s">
        <v>17</v>
      </c>
      <c r="B15" s="26"/>
      <c r="C15" s="31">
        <f ca="1">(C7+C11)+(C8+C12)*INT(MAX(F21:F3523))</f>
        <v>59281.306154992089</v>
      </c>
      <c r="D15" s="32" t="s">
        <v>61</v>
      </c>
      <c r="E15" s="33">
        <f ca="1">ROUND(2*(E14-$C$7)/$C$8,0)/2+E13</f>
        <v>12091</v>
      </c>
    </row>
    <row r="16" spans="1:7">
      <c r="A16" s="34" t="s">
        <v>4</v>
      </c>
      <c r="B16" s="26"/>
      <c r="C16" s="35">
        <f ca="1">+C8+C12</f>
        <v>0.77116786160945072</v>
      </c>
      <c r="D16" s="32" t="s">
        <v>50</v>
      </c>
      <c r="E16" s="17">
        <f ca="1">ROUND(2*(E14-$C$15)/$C$16,0)/2+E13</f>
        <v>1153</v>
      </c>
    </row>
    <row r="17" spans="1:32" ht="13.5" thickBot="1">
      <c r="A17" s="32" t="s">
        <v>45</v>
      </c>
      <c r="B17" s="26"/>
      <c r="C17" s="26">
        <f>COUNT(C21:C2181)</f>
        <v>21</v>
      </c>
      <c r="D17" s="32" t="s">
        <v>51</v>
      </c>
      <c r="E17" s="36">
        <f ca="1">+$C$15+$C$16*E16-15018.5-$C$9/24</f>
        <v>45152.358532761122</v>
      </c>
    </row>
    <row r="18" spans="1:32" ht="14.25" thickTop="1" thickBot="1">
      <c r="A18" s="34" t="s">
        <v>5</v>
      </c>
      <c r="B18" s="26"/>
      <c r="C18" s="37">
        <f ca="1">+C15</f>
        <v>59281.306154992089</v>
      </c>
      <c r="D18" s="38">
        <f ca="1">+C16</f>
        <v>0.77116786160945072</v>
      </c>
      <c r="E18" s="39" t="s">
        <v>52</v>
      </c>
    </row>
    <row r="19" spans="1:32" ht="13.5" thickTop="1">
      <c r="A19" s="40" t="s">
        <v>55</v>
      </c>
      <c r="E19" s="41">
        <v>21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37</v>
      </c>
      <c r="I20" s="10" t="s">
        <v>31</v>
      </c>
      <c r="J20" s="10" t="s">
        <v>44</v>
      </c>
      <c r="K20" s="10" t="s">
        <v>46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14</v>
      </c>
    </row>
    <row r="21" spans="1:32">
      <c r="A21" t="s">
        <v>34</v>
      </c>
      <c r="B21" s="6" t="s">
        <v>36</v>
      </c>
      <c r="C21" s="23">
        <v>50844.341999999997</v>
      </c>
      <c r="D21" s="23">
        <v>2E-3</v>
      </c>
      <c r="E21">
        <f t="shared" ref="E21:E40" si="0">+(C21-C$7)/C$8</f>
        <v>-2.5046435840395778</v>
      </c>
      <c r="F21">
        <f t="shared" ref="F21:F40" si="1">ROUND(2*E21,0)/2</f>
        <v>-2.5</v>
      </c>
      <c r="G21">
        <f t="shared" ref="G21:G40" si="2">+C21-(C$7+F21*C$8)</f>
        <v>-3.5809815963148139E-3</v>
      </c>
      <c r="I21">
        <f>G21</f>
        <v>-3.5809815963148139E-3</v>
      </c>
      <c r="O21">
        <f t="shared" ref="O21:O40" ca="1" si="3">+C$11+C$12*F21</f>
        <v>-1.4159276951416523E-3</v>
      </c>
      <c r="Q21" s="2">
        <f t="shared" ref="Q21:Q40" si="4">+C21-15018.5</f>
        <v>35825.841999999997</v>
      </c>
      <c r="AA21">
        <v>7</v>
      </c>
      <c r="AC21" t="s">
        <v>33</v>
      </c>
      <c r="AE21" t="s">
        <v>30</v>
      </c>
      <c r="AF21" t="s">
        <v>30</v>
      </c>
    </row>
    <row r="22" spans="1:32">
      <c r="A22" t="s">
        <v>37</v>
      </c>
      <c r="B22" s="6"/>
      <c r="C22" s="23">
        <v>50846.273500000003</v>
      </c>
      <c r="D22" s="23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-1.4152920841686832E-3</v>
      </c>
      <c r="Q22" s="2">
        <f t="shared" si="4"/>
        <v>35827.773500000003</v>
      </c>
    </row>
    <row r="23" spans="1:32">
      <c r="A23" t="s">
        <v>34</v>
      </c>
      <c r="B23" s="6"/>
      <c r="C23" s="23">
        <v>50846.273800000003</v>
      </c>
      <c r="D23" s="23">
        <v>6.9999999999999999E-4</v>
      </c>
      <c r="E23">
        <f t="shared" si="0"/>
        <v>3.8902048897303303E-4</v>
      </c>
      <c r="F23">
        <f t="shared" si="1"/>
        <v>0</v>
      </c>
      <c r="G23">
        <f t="shared" si="2"/>
        <v>2.9999999969732016E-4</v>
      </c>
      <c r="I23">
        <f>G23</f>
        <v>2.9999999969732016E-4</v>
      </c>
      <c r="O23">
        <f t="shared" ca="1" si="3"/>
        <v>-1.4152920841686832E-3</v>
      </c>
      <c r="Q23" s="2">
        <f t="shared" si="4"/>
        <v>35827.773800000003</v>
      </c>
      <c r="AA23">
        <v>7</v>
      </c>
      <c r="AC23" t="s">
        <v>33</v>
      </c>
      <c r="AE23" t="s">
        <v>30</v>
      </c>
      <c r="AF23" t="s">
        <v>30</v>
      </c>
    </row>
    <row r="24" spans="1:32">
      <c r="A24" t="s">
        <v>34</v>
      </c>
      <c r="B24" s="6"/>
      <c r="C24" s="23">
        <v>50859.383699999998</v>
      </c>
      <c r="D24" s="23">
        <v>8.0000000000000004E-4</v>
      </c>
      <c r="E24">
        <f t="shared" si="0"/>
        <v>17.00045473226071</v>
      </c>
      <c r="F24">
        <f t="shared" si="1"/>
        <v>17</v>
      </c>
      <c r="G24">
        <f t="shared" si="2"/>
        <v>3.5067478893324733E-4</v>
      </c>
      <c r="I24">
        <f>G24</f>
        <v>3.5067478893324733E-4</v>
      </c>
      <c r="O24">
        <f t="shared" ca="1" si="3"/>
        <v>-1.4109699295524929E-3</v>
      </c>
      <c r="Q24" s="2">
        <f t="shared" si="4"/>
        <v>35840.883699999998</v>
      </c>
      <c r="AA24">
        <v>12</v>
      </c>
      <c r="AC24" t="s">
        <v>33</v>
      </c>
      <c r="AE24" t="s">
        <v>30</v>
      </c>
      <c r="AF24" t="s">
        <v>30</v>
      </c>
    </row>
    <row r="25" spans="1:32">
      <c r="A25" t="s">
        <v>34</v>
      </c>
      <c r="B25" s="6" t="s">
        <v>36</v>
      </c>
      <c r="C25" s="23">
        <v>50871.336300000003</v>
      </c>
      <c r="D25" s="23">
        <v>8.0000000000000004E-4</v>
      </c>
      <c r="E25">
        <f t="shared" si="0"/>
        <v>32.499809069567505</v>
      </c>
      <c r="F25">
        <f t="shared" si="1"/>
        <v>32.5</v>
      </c>
      <c r="G25">
        <f t="shared" si="2"/>
        <v>-1.4723936328664422E-4</v>
      </c>
      <c r="I25">
        <f>G25</f>
        <v>-1.4723936328664422E-4</v>
      </c>
      <c r="O25">
        <f t="shared" ca="1" si="3"/>
        <v>-1.4070291415200842E-3</v>
      </c>
      <c r="Q25" s="2">
        <f t="shared" si="4"/>
        <v>35852.836300000003</v>
      </c>
      <c r="AA25">
        <v>32</v>
      </c>
      <c r="AC25" t="s">
        <v>35</v>
      </c>
      <c r="AE25" t="s">
        <v>30</v>
      </c>
    </row>
    <row r="26" spans="1:32">
      <c r="A26" t="s">
        <v>34</v>
      </c>
      <c r="B26" s="6" t="s">
        <v>36</v>
      </c>
      <c r="C26" s="23">
        <v>50871.338000000003</v>
      </c>
      <c r="D26" s="23">
        <v>3.0000000000000001E-3</v>
      </c>
      <c r="E26">
        <f t="shared" si="0"/>
        <v>32.502013519008159</v>
      </c>
      <c r="F26">
        <f t="shared" si="1"/>
        <v>32.5</v>
      </c>
      <c r="G26">
        <f t="shared" si="2"/>
        <v>1.5527606374234892E-3</v>
      </c>
      <c r="I26">
        <f>G26</f>
        <v>1.5527606374234892E-3</v>
      </c>
      <c r="O26">
        <f t="shared" ca="1" si="3"/>
        <v>-1.4070291415200842E-3</v>
      </c>
      <c r="Q26" s="2">
        <f t="shared" si="4"/>
        <v>35852.838000000003</v>
      </c>
      <c r="AA26">
        <v>8</v>
      </c>
      <c r="AC26" t="s">
        <v>33</v>
      </c>
      <c r="AE26" t="s">
        <v>30</v>
      </c>
    </row>
    <row r="27" spans="1:32">
      <c r="A27" s="42" t="s">
        <v>39</v>
      </c>
      <c r="B27" s="43" t="s">
        <v>38</v>
      </c>
      <c r="C27" s="44">
        <v>52274.474800000004</v>
      </c>
      <c r="D27" s="44">
        <v>4.1000000000000003E-3</v>
      </c>
      <c r="E27">
        <f t="shared" si="0"/>
        <v>1851.998562128281</v>
      </c>
      <c r="F27">
        <f t="shared" si="1"/>
        <v>1852</v>
      </c>
      <c r="G27">
        <f t="shared" si="2"/>
        <v>-1.1088400933658704E-3</v>
      </c>
      <c r="J27">
        <f>G27</f>
        <v>-1.1088400933658704E-3</v>
      </c>
      <c r="O27">
        <f t="shared" ca="1" si="3"/>
        <v>-9.444314753931345E-4</v>
      </c>
      <c r="Q27" s="2">
        <f t="shared" si="4"/>
        <v>37255.974800000004</v>
      </c>
    </row>
    <row r="28" spans="1:32">
      <c r="A28" s="45" t="s">
        <v>40</v>
      </c>
      <c r="B28" s="46"/>
      <c r="C28" s="47">
        <v>52953.489200000004</v>
      </c>
      <c r="D28" s="48">
        <v>1.2999999999999999E-3</v>
      </c>
      <c r="E28">
        <f t="shared" si="0"/>
        <v>2732.5002760424168</v>
      </c>
      <c r="F28">
        <f t="shared" si="1"/>
        <v>2732.5</v>
      </c>
      <c r="G28">
        <f t="shared" si="2"/>
        <v>2.1287496929289773E-4</v>
      </c>
      <c r="J28">
        <f>G28</f>
        <v>2.1287496929289773E-4</v>
      </c>
      <c r="O28">
        <f t="shared" ca="1" si="3"/>
        <v>-7.2056929071339889E-4</v>
      </c>
      <c r="Q28" s="2">
        <f t="shared" si="4"/>
        <v>37934.989200000004</v>
      </c>
    </row>
    <row r="29" spans="1:32">
      <c r="A29" s="49" t="s">
        <v>43</v>
      </c>
      <c r="B29" s="50" t="s">
        <v>36</v>
      </c>
      <c r="C29" s="48">
        <v>53409.250399999997</v>
      </c>
      <c r="D29" s="48">
        <v>1.5E-3</v>
      </c>
      <c r="E29">
        <f t="shared" si="0"/>
        <v>3323.5017595684767</v>
      </c>
      <c r="F29">
        <f t="shared" si="1"/>
        <v>3323.5</v>
      </c>
      <c r="G29">
        <f t="shared" si="2"/>
        <v>1.3569222137448378E-3</v>
      </c>
      <c r="J29">
        <f>G29</f>
        <v>1.3569222137448378E-3</v>
      </c>
      <c r="O29">
        <f t="shared" ca="1" si="3"/>
        <v>-5.7031085670349111E-4</v>
      </c>
      <c r="Q29" s="2">
        <f t="shared" si="4"/>
        <v>38390.750399999997</v>
      </c>
    </row>
    <row r="30" spans="1:32">
      <c r="A30" s="49" t="s">
        <v>58</v>
      </c>
      <c r="B30" s="50" t="s">
        <v>38</v>
      </c>
      <c r="C30" s="48">
        <v>53632.502249999998</v>
      </c>
      <c r="D30" s="48">
        <v>1E-4</v>
      </c>
      <c r="E30">
        <f t="shared" si="0"/>
        <v>3613.0002393643426</v>
      </c>
      <c r="F30">
        <f t="shared" si="1"/>
        <v>3613</v>
      </c>
      <c r="G30">
        <f t="shared" si="2"/>
        <v>1.8459002603776753E-4</v>
      </c>
      <c r="N30">
        <f>G30</f>
        <v>1.8459002603776753E-4</v>
      </c>
      <c r="O30">
        <f t="shared" ca="1" si="3"/>
        <v>-4.9670710603366317E-4</v>
      </c>
      <c r="Q30" s="2">
        <f t="shared" si="4"/>
        <v>38614.002249999998</v>
      </c>
    </row>
    <row r="31" spans="1:32">
      <c r="A31" s="48" t="s">
        <v>54</v>
      </c>
      <c r="B31" s="43"/>
      <c r="C31" s="48">
        <v>53999.5766</v>
      </c>
      <c r="D31" s="48">
        <v>2.9999999999999997E-4</v>
      </c>
      <c r="E31">
        <f t="shared" si="0"/>
        <v>4088.9983835994572</v>
      </c>
      <c r="F31">
        <f t="shared" si="1"/>
        <v>4089</v>
      </c>
      <c r="G31">
        <f t="shared" si="2"/>
        <v>-1.2465157415135764E-3</v>
      </c>
      <c r="J31">
        <f>G31</f>
        <v>-1.2465157415135764E-3</v>
      </c>
      <c r="O31">
        <f t="shared" ca="1" si="3"/>
        <v>-3.7568677678033631E-4</v>
      </c>
      <c r="Q31" s="2">
        <f t="shared" si="4"/>
        <v>38981.0766</v>
      </c>
    </row>
    <row r="32" spans="1:32">
      <c r="A32" s="49" t="s">
        <v>58</v>
      </c>
      <c r="B32" s="50" t="s">
        <v>38</v>
      </c>
      <c r="C32" s="48">
        <v>54020.398309999997</v>
      </c>
      <c r="D32" s="48">
        <v>1E-4</v>
      </c>
      <c r="E32">
        <f t="shared" si="0"/>
        <v>4115.9986229782098</v>
      </c>
      <c r="F32">
        <f t="shared" si="1"/>
        <v>4116</v>
      </c>
      <c r="G32">
        <f t="shared" si="2"/>
        <v>-1.0619145978125744E-3</v>
      </c>
      <c r="N32">
        <f>G32</f>
        <v>-1.0619145978125744E-3</v>
      </c>
      <c r="O32">
        <f t="shared" ca="1" si="3"/>
        <v>-3.6882217827226955E-4</v>
      </c>
      <c r="Q32" s="2">
        <f t="shared" si="4"/>
        <v>39001.898309999997</v>
      </c>
    </row>
    <row r="33" spans="1:17">
      <c r="A33" s="24" t="s">
        <v>53</v>
      </c>
      <c r="B33" s="50" t="s">
        <v>38</v>
      </c>
      <c r="C33" s="48">
        <v>54097.512600000002</v>
      </c>
      <c r="D33" s="48">
        <v>2.9999999999999997E-4</v>
      </c>
      <c r="E33">
        <f t="shared" si="0"/>
        <v>4215.9954190878007</v>
      </c>
      <c r="F33">
        <f t="shared" si="1"/>
        <v>4216</v>
      </c>
      <c r="G33">
        <f t="shared" si="2"/>
        <v>-3.5326510987943038E-3</v>
      </c>
      <c r="J33">
        <f>G33</f>
        <v>-3.5326510987943038E-3</v>
      </c>
      <c r="O33">
        <f t="shared" ca="1" si="3"/>
        <v>-3.4339773935350339E-4</v>
      </c>
      <c r="Q33" s="2">
        <f t="shared" si="4"/>
        <v>39079.012600000002</v>
      </c>
    </row>
    <row r="34" spans="1:17">
      <c r="A34" s="48" t="s">
        <v>54</v>
      </c>
      <c r="B34" s="43"/>
      <c r="C34" s="48">
        <v>54115.250999999997</v>
      </c>
      <c r="D34" s="48">
        <v>2.9999999999999997E-4</v>
      </c>
      <c r="E34">
        <f t="shared" si="0"/>
        <v>4238.9974225829983</v>
      </c>
      <c r="F34">
        <f t="shared" si="1"/>
        <v>4239</v>
      </c>
      <c r="G34">
        <f t="shared" si="2"/>
        <v>-1.9876205042237416E-3</v>
      </c>
      <c r="J34">
        <f>G34</f>
        <v>-1.9876205042237416E-3</v>
      </c>
      <c r="O34">
        <f t="shared" ca="1" si="3"/>
        <v>-3.3755011840218719E-4</v>
      </c>
      <c r="Q34" s="2">
        <f t="shared" si="4"/>
        <v>39096.750999999997</v>
      </c>
    </row>
    <row r="35" spans="1:17">
      <c r="A35" s="51" t="s">
        <v>56</v>
      </c>
      <c r="B35" s="42"/>
      <c r="C35" s="48">
        <v>54127.590100000001</v>
      </c>
      <c r="D35" s="48">
        <v>2.0000000000000001E-4</v>
      </c>
      <c r="E35" s="42">
        <f t="shared" si="0"/>
        <v>4254.9979649841052</v>
      </c>
      <c r="F35">
        <f t="shared" si="1"/>
        <v>4255</v>
      </c>
      <c r="G35">
        <f t="shared" si="2"/>
        <v>-1.5693383393227123E-3</v>
      </c>
      <c r="K35">
        <f>G35</f>
        <v>-1.5693383393227123E-3</v>
      </c>
      <c r="O35">
        <f t="shared" ca="1" si="3"/>
        <v>-3.3348220817518474E-4</v>
      </c>
      <c r="Q35" s="2">
        <f t="shared" si="4"/>
        <v>39109.090100000001</v>
      </c>
    </row>
    <row r="36" spans="1:17">
      <c r="A36" s="48" t="s">
        <v>57</v>
      </c>
      <c r="B36" s="50" t="s">
        <v>38</v>
      </c>
      <c r="C36" s="48">
        <v>54800.820800000001</v>
      </c>
      <c r="D36" s="48">
        <v>1E-3</v>
      </c>
      <c r="E36" s="42">
        <f t="shared" si="0"/>
        <v>5127.999752883763</v>
      </c>
      <c r="F36">
        <f t="shared" si="1"/>
        <v>5128</v>
      </c>
      <c r="G36">
        <f t="shared" si="2"/>
        <v>-1.90568040125072E-4</v>
      </c>
      <c r="J36">
        <f>G36</f>
        <v>-1.90568040125072E-4</v>
      </c>
      <c r="O36">
        <f t="shared" ca="1" si="3"/>
        <v>-1.1152685641435634E-4</v>
      </c>
      <c r="Q36" s="2">
        <f t="shared" si="4"/>
        <v>39782.320800000001</v>
      </c>
    </row>
    <row r="37" spans="1:17">
      <c r="A37" s="49" t="s">
        <v>59</v>
      </c>
      <c r="B37" s="50" t="s">
        <v>38</v>
      </c>
      <c r="C37" s="48">
        <v>55428.548410000003</v>
      </c>
      <c r="D37" s="48">
        <v>1E-4</v>
      </c>
      <c r="E37" s="42">
        <f t="shared" si="0"/>
        <v>5941.9960929852778</v>
      </c>
      <c r="F37">
        <f t="shared" si="1"/>
        <v>5942</v>
      </c>
      <c r="G37">
        <f t="shared" si="2"/>
        <v>-3.0129631923045963E-3</v>
      </c>
      <c r="N37">
        <f>G37</f>
        <v>-3.0129631923045963E-3</v>
      </c>
      <c r="O37">
        <f t="shared" ca="1" si="3"/>
        <v>9.542807638439994E-5</v>
      </c>
      <c r="Q37" s="2">
        <f t="shared" si="4"/>
        <v>40410.048410000003</v>
      </c>
    </row>
    <row r="38" spans="1:17">
      <c r="A38" s="24" t="s">
        <v>62</v>
      </c>
      <c r="B38" s="52" t="s">
        <v>38</v>
      </c>
      <c r="C38" s="24">
        <v>55579.697</v>
      </c>
      <c r="D38" s="24">
        <v>5.0000000000000001E-4</v>
      </c>
      <c r="E38" s="42">
        <f t="shared" si="0"/>
        <v>6137.9957544809722</v>
      </c>
      <c r="F38">
        <f t="shared" si="1"/>
        <v>6138</v>
      </c>
      <c r="G38">
        <f t="shared" si="2"/>
        <v>-3.2740067545091733E-3</v>
      </c>
      <c r="N38">
        <f>G38</f>
        <v>-3.2740067545091733E-3</v>
      </c>
      <c r="O38">
        <f t="shared" ca="1" si="3"/>
        <v>1.4525997666518147E-4</v>
      </c>
      <c r="Q38" s="2">
        <f t="shared" si="4"/>
        <v>40561.197</v>
      </c>
    </row>
    <row r="39" spans="1:17">
      <c r="A39" s="48" t="s">
        <v>63</v>
      </c>
      <c r="B39" s="50" t="s">
        <v>38</v>
      </c>
      <c r="C39" s="48">
        <v>55953.712699999996</v>
      </c>
      <c r="D39" s="48">
        <v>4.0000000000000002E-4</v>
      </c>
      <c r="E39" s="42">
        <f t="shared" si="0"/>
        <v>6622.9949899622698</v>
      </c>
      <c r="F39">
        <f t="shared" si="1"/>
        <v>6623</v>
      </c>
      <c r="G39">
        <f t="shared" si="2"/>
        <v>-3.8635788077954203E-3</v>
      </c>
      <c r="N39">
        <f>G39</f>
        <v>-3.8635788077954203E-3</v>
      </c>
      <c r="O39">
        <f t="shared" ca="1" si="3"/>
        <v>2.6856850542119714E-4</v>
      </c>
      <c r="Q39" s="2">
        <f t="shared" si="4"/>
        <v>40935.212699999996</v>
      </c>
    </row>
    <row r="40" spans="1:17">
      <c r="A40" s="53" t="s">
        <v>64</v>
      </c>
      <c r="B40" s="54" t="s">
        <v>38</v>
      </c>
      <c r="C40" s="55">
        <v>56314.623399999997</v>
      </c>
      <c r="D40" s="55">
        <v>8.0000000000000004E-4</v>
      </c>
      <c r="E40" s="42">
        <f t="shared" si="0"/>
        <v>7091.0005137331218</v>
      </c>
      <c r="F40">
        <f t="shared" si="1"/>
        <v>7091</v>
      </c>
      <c r="G40">
        <f t="shared" si="2"/>
        <v>3.9617434231331572E-4</v>
      </c>
      <c r="N40">
        <f>G40</f>
        <v>3.9617434231331572E-4</v>
      </c>
      <c r="O40">
        <f t="shared" ca="1" si="3"/>
        <v>3.8755487956102256E-4</v>
      </c>
      <c r="Q40" s="2">
        <f t="shared" si="4"/>
        <v>41296.123399999997</v>
      </c>
    </row>
    <row r="41" spans="1:17">
      <c r="A41" s="56" t="s">
        <v>65</v>
      </c>
      <c r="B41" s="57" t="s">
        <v>38</v>
      </c>
      <c r="C41" s="58">
        <v>59281.314200000001</v>
      </c>
      <c r="D41" s="56">
        <v>1E-4</v>
      </c>
      <c r="E41" s="42">
        <f t="shared" ref="E41" si="5">+(C41-C$7)/C$8</f>
        <v>10938.012203107164</v>
      </c>
      <c r="F41">
        <f t="shared" ref="F41" si="6">ROUND(2*E41,0)/2</f>
        <v>10938</v>
      </c>
      <c r="G41">
        <f t="shared" ref="G41" si="7">+C41-(C$7+F41*C$8)</f>
        <v>9.4106409524101764E-3</v>
      </c>
      <c r="N41">
        <f>G41</f>
        <v>9.4106409524101764E-3</v>
      </c>
      <c r="O41">
        <f t="shared" ref="O41" ca="1" si="8">+C$11+C$12*F41</f>
        <v>1.3656330447659555E-3</v>
      </c>
      <c r="Q41" s="2">
        <f t="shared" ref="Q41" si="9">+C41-15018.5</f>
        <v>44262.814200000001</v>
      </c>
    </row>
    <row r="42" spans="1:17">
      <c r="A42" s="42"/>
      <c r="B42" s="42"/>
      <c r="C42" s="42"/>
      <c r="D42" s="42"/>
      <c r="E42" s="4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26</v>
      </c>
    </row>
    <row r="4" spans="1:4">
      <c r="A4" s="8" t="s">
        <v>0</v>
      </c>
      <c r="C4" s="13" t="s">
        <v>13</v>
      </c>
      <c r="D4" s="14" t="s">
        <v>13</v>
      </c>
    </row>
    <row r="6" spans="1:4">
      <c r="A6" s="8" t="s">
        <v>1</v>
      </c>
    </row>
    <row r="7" spans="1:4">
      <c r="A7" t="s">
        <v>2</v>
      </c>
      <c r="C7" s="12">
        <v>50846.273500000003</v>
      </c>
    </row>
    <row r="8" spans="1:4">
      <c r="A8" t="s">
        <v>3</v>
      </c>
      <c r="C8" s="12">
        <v>0.77130100000000001</v>
      </c>
    </row>
    <row r="10" spans="1:4" ht="13.5" thickBot="1">
      <c r="C10" s="7" t="s">
        <v>21</v>
      </c>
      <c r="D10" s="7" t="s">
        <v>22</v>
      </c>
    </row>
    <row r="11" spans="1:4">
      <c r="A11" t="s">
        <v>15</v>
      </c>
      <c r="C11">
        <f>INTERCEPT(G21:G993,F21:F993)</f>
        <v>-3.025938315073945E-4</v>
      </c>
      <c r="D11" s="6"/>
    </row>
    <row r="12" spans="1:4">
      <c r="A12" t="s">
        <v>16</v>
      </c>
      <c r="C12">
        <f>SLOPE(G21:G993,F21:F993)</f>
        <v>-1.3339263493849365E-4</v>
      </c>
      <c r="D12" s="6"/>
    </row>
    <row r="13" spans="1:4">
      <c r="A13" t="s">
        <v>20</v>
      </c>
      <c r="C13" s="6" t="s">
        <v>13</v>
      </c>
      <c r="D13" s="6"/>
    </row>
    <row r="14" spans="1:4">
      <c r="A14" t="s">
        <v>25</v>
      </c>
    </row>
    <row r="15" spans="1:4">
      <c r="A15" s="3" t="s">
        <v>17</v>
      </c>
      <c r="C15" s="19">
        <v>52953.489200000004</v>
      </c>
    </row>
    <row r="16" spans="1:4">
      <c r="A16" s="8" t="s">
        <v>4</v>
      </c>
      <c r="C16">
        <f>+C8+C12</f>
        <v>0.77116760736506151</v>
      </c>
    </row>
    <row r="17" spans="1:32" ht="13.5" thickBot="1"/>
    <row r="18" spans="1:32">
      <c r="A18" s="8" t="s">
        <v>5</v>
      </c>
      <c r="C18" s="4">
        <f>+C15</f>
        <v>52953.489200000004</v>
      </c>
      <c r="D18" s="5">
        <f>+C16</f>
        <v>0.77116760736506151</v>
      </c>
    </row>
    <row r="19" spans="1:32" ht="13.5" thickTop="1">
      <c r="C19">
        <f>COUNT(C21:C264)</f>
        <v>8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37</v>
      </c>
      <c r="I20" s="10" t="s">
        <v>31</v>
      </c>
      <c r="J20" s="10" t="s">
        <v>18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14</v>
      </c>
    </row>
    <row r="21" spans="1:32">
      <c r="A21" t="s">
        <v>34</v>
      </c>
      <c r="B21" s="6" t="s">
        <v>36</v>
      </c>
      <c r="C21" s="11">
        <v>50844.341999999997</v>
      </c>
      <c r="D21">
        <v>2E-3</v>
      </c>
      <c r="E21">
        <f t="shared" ref="E21:E27" si="0">+(C21-C$7)/C$8</f>
        <v>-2.5042104185085376</v>
      </c>
      <c r="F21">
        <f t="shared" ref="F21:F26" si="1">ROUND(2*E21,0)/2</f>
        <v>-2.5</v>
      </c>
      <c r="G21">
        <f t="shared" ref="G21:G27" si="2">+C21-(C$7+F21*C$8)</f>
        <v>-3.2475000043632463E-3</v>
      </c>
      <c r="I21">
        <f>G21</f>
        <v>-3.2475000043632463E-3</v>
      </c>
      <c r="O21">
        <f t="shared" ref="O21:O27" si="3">+C$11+C$12*F21</f>
        <v>3.0887755838839655E-5</v>
      </c>
      <c r="Q21" s="2">
        <f t="shared" ref="Q21:Q27" si="4">+C21-15018.5</f>
        <v>35825.841999999997</v>
      </c>
      <c r="AA21">
        <v>7</v>
      </c>
      <c r="AC21" t="s">
        <v>33</v>
      </c>
      <c r="AE21" t="s">
        <v>30</v>
      </c>
      <c r="AF21" t="s">
        <v>30</v>
      </c>
    </row>
    <row r="22" spans="1:32">
      <c r="A22" t="s">
        <v>37</v>
      </c>
      <c r="B22" s="6"/>
      <c r="C22" s="12">
        <v>50846.273500000003</v>
      </c>
      <c r="D22" s="6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si="3"/>
        <v>-3.025938315073945E-4</v>
      </c>
      <c r="Q22" s="2">
        <f t="shared" si="4"/>
        <v>35827.773500000003</v>
      </c>
    </row>
    <row r="23" spans="1:32">
      <c r="A23" t="s">
        <v>34</v>
      </c>
      <c r="B23" s="6"/>
      <c r="C23" s="11">
        <v>50846.273800000003</v>
      </c>
      <c r="D23">
        <v>6.9999999999999999E-4</v>
      </c>
      <c r="E23">
        <f t="shared" si="0"/>
        <v>3.8895320983289296E-4</v>
      </c>
      <c r="F23">
        <f t="shared" si="1"/>
        <v>0</v>
      </c>
      <c r="G23">
        <f t="shared" si="2"/>
        <v>2.9999999969732016E-4</v>
      </c>
      <c r="I23">
        <f>G23</f>
        <v>2.9999999969732016E-4</v>
      </c>
      <c r="O23">
        <f t="shared" si="3"/>
        <v>-3.025938315073945E-4</v>
      </c>
      <c r="Q23" s="2">
        <f t="shared" si="4"/>
        <v>35827.773800000003</v>
      </c>
      <c r="AA23">
        <v>7</v>
      </c>
      <c r="AC23" t="s">
        <v>33</v>
      </c>
      <c r="AE23" t="s">
        <v>30</v>
      </c>
      <c r="AF23" t="s">
        <v>30</v>
      </c>
    </row>
    <row r="24" spans="1:32">
      <c r="A24" t="s">
        <v>34</v>
      </c>
      <c r="B24" s="6"/>
      <c r="C24" s="11">
        <v>50859.383699999998</v>
      </c>
      <c r="D24">
        <v>8.0000000000000004E-4</v>
      </c>
      <c r="E24">
        <f t="shared" si="0"/>
        <v>16.997514588980863</v>
      </c>
      <c r="F24">
        <f t="shared" si="1"/>
        <v>17</v>
      </c>
      <c r="G24">
        <f t="shared" si="2"/>
        <v>-1.9170000014128163E-3</v>
      </c>
      <c r="I24">
        <f>G24</f>
        <v>-1.9170000014128163E-3</v>
      </c>
      <c r="O24">
        <f t="shared" si="3"/>
        <v>-2.5702686254617866E-3</v>
      </c>
      <c r="Q24" s="2">
        <f t="shared" si="4"/>
        <v>35840.883699999998</v>
      </c>
      <c r="AA24">
        <v>12</v>
      </c>
      <c r="AC24" t="s">
        <v>33</v>
      </c>
      <c r="AE24" t="s">
        <v>30</v>
      </c>
      <c r="AF24" t="s">
        <v>30</v>
      </c>
    </row>
    <row r="25" spans="1:32">
      <c r="A25" t="s">
        <v>34</v>
      </c>
      <c r="B25" s="6" t="s">
        <v>36</v>
      </c>
      <c r="C25" s="11">
        <v>50871.336300000003</v>
      </c>
      <c r="D25">
        <v>8.0000000000000004E-4</v>
      </c>
      <c r="E25">
        <f t="shared" si="0"/>
        <v>32.494188390783492</v>
      </c>
      <c r="F25">
        <f t="shared" si="1"/>
        <v>32.5</v>
      </c>
      <c r="G25">
        <f t="shared" si="2"/>
        <v>-4.4825000004493631E-3</v>
      </c>
      <c r="I25">
        <f>G25</f>
        <v>-4.4825000004493631E-3</v>
      </c>
      <c r="O25">
        <f t="shared" si="3"/>
        <v>-4.6378544670084383E-3</v>
      </c>
      <c r="Q25" s="2">
        <f t="shared" si="4"/>
        <v>35852.836300000003</v>
      </c>
      <c r="AA25">
        <v>32</v>
      </c>
      <c r="AC25" t="s">
        <v>35</v>
      </c>
      <c r="AE25" t="s">
        <v>30</v>
      </c>
    </row>
    <row r="26" spans="1:32">
      <c r="A26" t="s">
        <v>34</v>
      </c>
      <c r="B26" s="6" t="s">
        <v>36</v>
      </c>
      <c r="C26" s="11">
        <v>50871.338000000003</v>
      </c>
      <c r="D26">
        <v>3.0000000000000001E-3</v>
      </c>
      <c r="E26">
        <f t="shared" si="0"/>
        <v>32.496392458975684</v>
      </c>
      <c r="F26">
        <f t="shared" si="1"/>
        <v>32.5</v>
      </c>
      <c r="G26">
        <f t="shared" si="2"/>
        <v>-2.7824999997392297E-3</v>
      </c>
      <c r="I26">
        <f>G26</f>
        <v>-2.7824999997392297E-3</v>
      </c>
      <c r="O26">
        <f t="shared" si="3"/>
        <v>-4.6378544670084383E-3</v>
      </c>
      <c r="Q26" s="2">
        <f t="shared" si="4"/>
        <v>35852.838000000003</v>
      </c>
      <c r="AA26">
        <v>8</v>
      </c>
      <c r="AC26" t="s">
        <v>33</v>
      </c>
      <c r="AE26" t="s">
        <v>30</v>
      </c>
    </row>
    <row r="27" spans="1:32">
      <c r="A27" t="s">
        <v>39</v>
      </c>
      <c r="B27" s="16" t="s">
        <v>38</v>
      </c>
      <c r="C27" s="15">
        <v>52274.474800000004</v>
      </c>
      <c r="D27" s="15">
        <v>4.1000000000000003E-3</v>
      </c>
      <c r="E27">
        <f t="shared" si="0"/>
        <v>1851.6782682765879</v>
      </c>
      <c r="F27" s="17">
        <f>ROUND(2*E27,0)/2+0.5</f>
        <v>1852</v>
      </c>
      <c r="G27">
        <f t="shared" si="2"/>
        <v>-0.24815200000011828</v>
      </c>
      <c r="J27">
        <f>G27</f>
        <v>-0.24815200000011828</v>
      </c>
      <c r="O27">
        <f t="shared" si="3"/>
        <v>-0.24734575373759765</v>
      </c>
      <c r="Q27" s="2">
        <f t="shared" si="4"/>
        <v>37255.974800000004</v>
      </c>
    </row>
    <row r="28" spans="1:32">
      <c r="A28" s="18" t="s">
        <v>40</v>
      </c>
      <c r="B28" s="15"/>
      <c r="C28" s="19">
        <v>52953.489200000004</v>
      </c>
      <c r="D28">
        <v>1.2999999999999999E-3</v>
      </c>
      <c r="E28">
        <f>+(C28-C$7)/C$8</f>
        <v>2732.0277038406543</v>
      </c>
      <c r="F28" s="17">
        <f>ROUND(2*E28,0)/2+0.5</f>
        <v>2732.5</v>
      </c>
      <c r="G28">
        <f>+C28-(C$7+F28*C$8)</f>
        <v>-0.36428249999880791</v>
      </c>
      <c r="J28">
        <f>G28</f>
        <v>-0.36428249999880791</v>
      </c>
      <c r="O28">
        <f>+C$11+C$12*F28</f>
        <v>-0.36479796880094129</v>
      </c>
      <c r="Q28" s="2">
        <f>+C28-15018.5</f>
        <v>37934.989200000004</v>
      </c>
    </row>
    <row r="29" spans="1:32">
      <c r="D29" s="6"/>
    </row>
    <row r="30" spans="1:32">
      <c r="D30" s="6"/>
    </row>
    <row r="31" spans="1:32">
      <c r="D31" s="6"/>
    </row>
    <row r="32" spans="1:32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2023-08-13T07:21:20Z</dcterms:modified>
</cp:coreProperties>
</file>