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504254B-4E2E-4AFA-9A30-6F9F8C765D06}" xr6:coauthVersionLast="47" xr6:coauthVersionMax="47" xr10:uidLastSave="{00000000-0000-0000-0000-000000000000}"/>
  <bookViews>
    <workbookView xWindow="14565" yWindow="180" windowWidth="13995" windowHeight="1443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K28" i="1" s="1"/>
  <c r="Q28" i="1"/>
  <c r="E31" i="1"/>
  <c r="F31" i="1"/>
  <c r="G31" i="1" s="1"/>
  <c r="K31" i="1" s="1"/>
  <c r="Q31" i="1"/>
  <c r="E26" i="1"/>
  <c r="F26" i="1"/>
  <c r="G26" i="1" s="1"/>
  <c r="K26" i="1" s="1"/>
  <c r="Q26" i="1"/>
  <c r="E27" i="1"/>
  <c r="F27" i="1" s="1"/>
  <c r="G27" i="1" s="1"/>
  <c r="K27" i="1" s="1"/>
  <c r="Q27" i="1"/>
  <c r="E29" i="1"/>
  <c r="F29" i="1"/>
  <c r="G29" i="1" s="1"/>
  <c r="K29" i="1" s="1"/>
  <c r="Q29" i="1"/>
  <c r="E30" i="1"/>
  <c r="F30" i="1" s="1"/>
  <c r="G30" i="1" s="1"/>
  <c r="K30" i="1" s="1"/>
  <c r="Q30" i="1"/>
  <c r="Q25" i="1"/>
  <c r="E25" i="1"/>
  <c r="F25" i="1" s="1"/>
  <c r="G25" i="1" s="1"/>
  <c r="K25" i="1" s="1"/>
  <c r="C9" i="1"/>
  <c r="D9" i="1"/>
  <c r="F16" i="1"/>
  <c r="F17" i="1" s="1"/>
  <c r="C17" i="1"/>
  <c r="E21" i="1"/>
  <c r="F21" i="1" s="1"/>
  <c r="G21" i="1" s="1"/>
  <c r="I21" i="1" s="1"/>
  <c r="Q21" i="1"/>
  <c r="E22" i="1"/>
  <c r="F22" i="1"/>
  <c r="G22" i="1"/>
  <c r="I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C11" i="1"/>
  <c r="C12" i="1"/>
  <c r="O28" i="1" l="1"/>
  <c r="O31" i="1"/>
  <c r="O27" i="1"/>
  <c r="O29" i="1"/>
  <c r="O30" i="1"/>
  <c r="O26" i="1"/>
  <c r="O23" i="1"/>
  <c r="O22" i="1"/>
  <c r="O24" i="1"/>
  <c r="O25" i="1"/>
  <c r="O21" i="1"/>
  <c r="C1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<sst xmlns="http://schemas.openxmlformats.org/spreadsheetml/2006/main" count="77" uniqueCount="61">
  <si>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</si>
  <si>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</si>
  <si>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</si>
  <si>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</si>
  <si>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</si>
  <si>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</si>
  <si>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</si>
  <si>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</si>
  <si>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</si>
  <si>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</si>
  <si>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</si>
  <si>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</si>
  <si>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</si>
  <si>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</si>
  <si>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</si>
  <si>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</si>
  <si>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</si>
  <si>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</si>
  <si>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</si>
  <si>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</si>
  <si>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</si>
  <si>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</si>
  <si>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</si>
  <si>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</si>
  <si>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</si>
  <si>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</si>
  <si>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</si>
  <si>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</si>
  <si>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</si>
  <si>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</si>
  <si>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</si>
  <si>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</si>
  <si>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</si>
  <si>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</si>
  <si>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</si>
  <si>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</si>
  <si>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</si>
  <si>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</si>
  <si>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</si>
  <si>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</si>
  <si>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</si>
  <si>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</si>
  <si>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V0826 Aur</t>
  </si>
  <si>
    <t>2019G</t>
  </si>
  <si>
    <t>G3344-1247</t>
  </si>
  <si>
    <t>EW</t>
  </si>
  <si>
    <t>pr_</t>
  </si>
  <si>
    <t>V0826</t>
  </si>
  <si>
    <t>0826</t>
  </si>
  <si>
    <t>Aur</t>
  </si>
  <si>
    <t>yes</t>
  </si>
  <si>
    <t>V0826 Aur / GSC 3344-1247</t>
  </si>
  <si>
    <t>IBVS 6070</t>
  </si>
  <si>
    <t>VSX</t>
  </si>
  <si>
    <t>I</t>
  </si>
  <si>
    <t>RHN 2020</t>
  </si>
  <si>
    <t>2020JAVSO..48….1</t>
  </si>
  <si>
    <t>RHN 2021</t>
  </si>
  <si>
    <t>VSB, 91</t>
  </si>
  <si>
    <t>JBAV, 60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</si>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</sst>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6" fillId="24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17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26" borderId="5" xfId="0" applyFont="1" applyFill="1" applyBorder="1" applyAlignment="1">
      <alignment horizontal="center" vertical="center"/>
    </xf>
    <xf numFmtId="0" fontId="17" fillId="26" borderId="5" xfId="0" applyFont="1" applyFill="1" applyBorder="1" applyAlignment="1">
      <alignment horizontal="center" vertical="center"/>
    </xf>
    <xf numFmtId="0" fontId="33" fillId="0" borderId="0" xfId="41" applyFont="1" applyAlignment="1">
      <alignment horizontal="left" vertical="center"/>
    </xf>
    <xf numFmtId="0" fontId="33" fillId="0" borderId="0" xfId="41" applyFont="1" applyAlignment="1">
      <alignment horizontal="center" vertical="center"/>
    </xf>
    <xf numFmtId="0" fontId="33" fillId="0" borderId="0" xfId="41" applyFont="1" applyAlignment="1">
      <alignment horizontal="left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34" fillId="0" borderId="0" xfId="0" applyNumberFormat="1" applyFont="1" applyAlignment="1">
      <alignment vertical="center" wrapText="1"/>
    </xf>
    <xf numFmtId="0" fontId="34" fillId="0" borderId="0" xfId="0" applyFont="1" applyAlignment="1" applyProtection="1">
      <alignment horizontal="left"/>
      <protection locked="0"/>
    </xf>
    <xf numFmtId="0" fontId="34" fillId="0" borderId="0" xfId="0" applyFont="1" applyAlignment="1" applyProtection="1">
      <alignment horizontal="center"/>
      <protection locked="0"/>
    </xf>
    <xf numFmtId="165" fontId="34" fillId="0" borderId="0" xfId="0" applyNumberFormat="1" applyFont="1" applyAlignment="1" applyProtection="1">
      <alignment vertical="center" wrapText="1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V0826 Aur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64-43B9-A843-9CB05DD1F2B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  <c:pt idx="1">
                  <c:v>-1.180920000479091E-3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64-43B9-A843-9CB05DD1F2B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64-43B9-A843-9CB05DD1F2B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2">
                  <c:v>-1.6363599999749567E-2</c:v>
                </c:pt>
                <c:pt idx="3">
                  <c:v>-2.1635800003423356E-2</c:v>
                </c:pt>
                <c:pt idx="4">
                  <c:v>-2.5569040000846144E-2</c:v>
                </c:pt>
                <c:pt idx="5">
                  <c:v>-2.5212080130586401E-2</c:v>
                </c:pt>
                <c:pt idx="6">
                  <c:v>-2.5092999800108373E-2</c:v>
                </c:pt>
                <c:pt idx="7">
                  <c:v>-2.5978520214266609E-2</c:v>
                </c:pt>
                <c:pt idx="8">
                  <c:v>-2.5019240143592469E-2</c:v>
                </c:pt>
                <c:pt idx="9">
                  <c:v>-2.5826400000369176E-2</c:v>
                </c:pt>
                <c:pt idx="10">
                  <c:v>-2.5007320000440814E-2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64-43B9-A843-9CB05DD1F2B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64-43B9-A843-9CB05DD1F2B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64-43B9-A843-9CB05DD1F2B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64-43B9-A843-9CB05DD1F2B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1.8223335662371051E-2</c:v>
                </c:pt>
                <c:pt idx="1">
                  <c:v>1.8221132819608153E-2</c:v>
                </c:pt>
                <c:pt idx="2">
                  <c:v>-1.6647665274320791E-2</c:v>
                </c:pt>
                <c:pt idx="3">
                  <c:v>-2.1130450296820338E-2</c:v>
                </c:pt>
                <c:pt idx="4">
                  <c:v>-2.5088958741749916E-2</c:v>
                </c:pt>
                <c:pt idx="5">
                  <c:v>-2.5335677131194608E-2</c:v>
                </c:pt>
                <c:pt idx="6">
                  <c:v>-2.5337879973957509E-2</c:v>
                </c:pt>
                <c:pt idx="7">
                  <c:v>-2.5351097030534907E-2</c:v>
                </c:pt>
                <c:pt idx="8">
                  <c:v>-2.5496484652886241E-2</c:v>
                </c:pt>
                <c:pt idx="9">
                  <c:v>-2.5657292174577875E-2</c:v>
                </c:pt>
                <c:pt idx="10">
                  <c:v>-2.5659495017340769E-2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64-43B9-A843-9CB05DD1F2B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164-43B9-A843-9CB05DD1F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771832"/>
        <c:axId val="1"/>
      </c:scatterChart>
      <c:valAx>
        <c:axId val="600771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771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15AEF19-6675-3D22-9A7D-9A921194F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39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4" ht="20.25" x14ac:dyDescent="0.3">
      <c r="A1" s="1" t="s">
        <v>51</v>
      </c>
      <c r="F1" s="36" t="s">
        <v>42</v>
      </c>
      <c r="G1" s="31" t="s">
        <v>43</v>
      </c>
      <c r="H1" s="32"/>
      <c r="I1" s="37" t="s">
        <v>44</v>
      </c>
      <c r="J1" s="38" t="s">
        <v>42</v>
      </c>
      <c r="K1" s="39">
        <v>4.5518999999999998</v>
      </c>
      <c r="L1" s="39">
        <v>45.142099999999999</v>
      </c>
      <c r="M1" s="40">
        <v>55953.326000000001</v>
      </c>
      <c r="N1" s="40">
        <v>0.36176184</v>
      </c>
      <c r="O1" s="39" t="s">
        <v>45</v>
      </c>
      <c r="P1" s="39">
        <v>11.35</v>
      </c>
      <c r="Q1" s="39">
        <v>12.06</v>
      </c>
      <c r="R1" s="41" t="s">
        <v>46</v>
      </c>
      <c r="S1" s="42" t="s">
        <v>13</v>
      </c>
      <c r="T1" s="43" t="s">
        <v>47</v>
      </c>
      <c r="U1" s="44" t="s">
        <v>48</v>
      </c>
      <c r="V1" s="33" t="s">
        <v>49</v>
      </c>
      <c r="W1" s="45" t="s">
        <v>50</v>
      </c>
      <c r="X1" s="46"/>
    </row>
    <row r="2" spans="1:24" x14ac:dyDescent="0.2">
      <c r="A2" t="s">
        <v>23</v>
      </c>
      <c r="B2" t="s">
        <v>45</v>
      </c>
      <c r="C2" s="30"/>
      <c r="D2" s="3"/>
    </row>
    <row r="3" spans="1:24" ht="13.5" thickBot="1" x14ac:dyDescent="0.25"/>
    <row r="4" spans="1:24" ht="14.25" thickTop="1" thickBot="1" x14ac:dyDescent="0.25">
      <c r="A4" s="5" t="s">
        <v>0</v>
      </c>
      <c r="C4" s="27" t="s">
        <v>37</v>
      </c>
      <c r="D4" s="28" t="s">
        <v>37</v>
      </c>
    </row>
    <row r="5" spans="1:24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24" x14ac:dyDescent="0.2">
      <c r="A6" s="5" t="s">
        <v>1</v>
      </c>
    </row>
    <row r="7" spans="1:24" x14ac:dyDescent="0.2">
      <c r="A7" t="s">
        <v>2</v>
      </c>
      <c r="C7" s="8">
        <v>55953.326000000001</v>
      </c>
      <c r="D7" s="29" t="s">
        <v>52</v>
      </c>
    </row>
    <row r="8" spans="1:24" x14ac:dyDescent="0.2">
      <c r="A8" t="s">
        <v>3</v>
      </c>
      <c r="C8" s="8">
        <v>0.36176184</v>
      </c>
      <c r="D8" s="29" t="s">
        <v>53</v>
      </c>
    </row>
    <row r="9" spans="1:24" x14ac:dyDescent="0.2">
      <c r="A9" s="24" t="s">
        <v>32</v>
      </c>
      <c r="B9" s="25">
        <v>23</v>
      </c>
      <c r="C9" s="22" t="str">
        <f>"F"&amp;B9</f>
        <v>F23</v>
      </c>
      <c r="D9" s="23" t="str">
        <f>"G"&amp;B9</f>
        <v>G23</v>
      </c>
    </row>
    <row r="10" spans="1:24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4" x14ac:dyDescent="0.2">
      <c r="A11" s="10" t="s">
        <v>15</v>
      </c>
      <c r="B11" s="10"/>
      <c r="C11" s="21">
        <f ca="1">INTERCEPT(INDIRECT($D$9):G991,INDIRECT($C$9):F991)</f>
        <v>1.8223335662371051E-2</v>
      </c>
      <c r="D11" s="3"/>
      <c r="E11" s="10"/>
    </row>
    <row r="12" spans="1:24" x14ac:dyDescent="0.2">
      <c r="A12" s="10" t="s">
        <v>16</v>
      </c>
      <c r="B12" s="10"/>
      <c r="C12" s="21">
        <f ca="1">SLOPE(INDIRECT($D$9):G991,INDIRECT($C$9):F991)</f>
        <v>-4.4056855257980845E-6</v>
      </c>
      <c r="D12" s="3"/>
      <c r="E12" s="10"/>
    </row>
    <row r="13" spans="1:24" x14ac:dyDescent="0.2">
      <c r="A13" s="10" t="s">
        <v>18</v>
      </c>
      <c r="B13" s="10"/>
      <c r="C13" s="3" t="s">
        <v>13</v>
      </c>
    </row>
    <row r="14" spans="1:24" x14ac:dyDescent="0.2">
      <c r="A14" s="10"/>
      <c r="B14" s="10"/>
      <c r="C14" s="10"/>
    </row>
    <row r="15" spans="1:24" x14ac:dyDescent="0.2">
      <c r="A15" s="12" t="s">
        <v>17</v>
      </c>
      <c r="B15" s="10"/>
      <c r="C15" s="13">
        <f ca="1">(C7+C11)+(C8+C12)*INT(MAX(F21:F3532))</f>
        <v>59556.448269107823</v>
      </c>
      <c r="E15" s="14" t="s">
        <v>34</v>
      </c>
      <c r="F15" s="34">
        <v>1</v>
      </c>
    </row>
    <row r="16" spans="1:24" x14ac:dyDescent="0.2">
      <c r="A16" s="16" t="s">
        <v>4</v>
      </c>
      <c r="B16" s="10"/>
      <c r="C16" s="17">
        <f ca="1">+C8+C12</f>
        <v>0.36175743431447421</v>
      </c>
      <c r="E16" s="14" t="s">
        <v>30</v>
      </c>
      <c r="F16" s="35">
        <f ca="1">NOW()+15018.5+$C$5/24</f>
        <v>60175.782261458327</v>
      </c>
    </row>
    <row r="17" spans="1:21" ht="13.5" thickBot="1" x14ac:dyDescent="0.25">
      <c r="A17" s="14" t="s">
        <v>27</v>
      </c>
      <c r="B17" s="10"/>
      <c r="C17" s="10">
        <f>COUNT(C21:C2190)</f>
        <v>11</v>
      </c>
      <c r="E17" s="14" t="s">
        <v>35</v>
      </c>
      <c r="F17" s="15">
        <f ca="1">ROUND(2*(F16-$C$7)/$C$8,0)/2+F15</f>
        <v>11673</v>
      </c>
    </row>
    <row r="18" spans="1:21" ht="14.25" thickTop="1" thickBot="1" x14ac:dyDescent="0.25">
      <c r="A18" s="16" t="s">
        <v>5</v>
      </c>
      <c r="B18" s="10"/>
      <c r="C18" s="19">
        <f ca="1">+C15</f>
        <v>59556.448269107823</v>
      </c>
      <c r="D18" s="20">
        <f ca="1">+C16</f>
        <v>0.36175743431447421</v>
      </c>
      <c r="E18" s="14" t="s">
        <v>36</v>
      </c>
      <c r="F18" s="23">
        <f ca="1">ROUND(2*(F16-$C$15)/$C$16,0)/2+F15</f>
        <v>1713</v>
      </c>
    </row>
    <row r="19" spans="1:21" ht="13.5" thickTop="1" x14ac:dyDescent="0.2">
      <c r="E19" s="14" t="s">
        <v>31</v>
      </c>
      <c r="F19" s="18">
        <f ca="1">+$C$15+$C$16*F18-15018.5-$C$5/24</f>
        <v>45158.034587421855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7" t="s">
        <v>52</v>
      </c>
      <c r="B21" s="48" t="s">
        <v>54</v>
      </c>
      <c r="C21" s="49">
        <v>55953.326000000001</v>
      </c>
      <c r="D21" s="49">
        <v>5.9999999999999995E-4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1.8223335662371051E-2</v>
      </c>
      <c r="Q21" s="2">
        <f>+C21-15018.5</f>
        <v>40934.826000000001</v>
      </c>
    </row>
    <row r="22" spans="1:21" x14ac:dyDescent="0.2">
      <c r="A22" s="47" t="s">
        <v>52</v>
      </c>
      <c r="B22" s="48" t="s">
        <v>54</v>
      </c>
      <c r="C22" s="49">
        <v>55953.505700000002</v>
      </c>
      <c r="D22" s="49">
        <v>5.0000000000000001E-4</v>
      </c>
      <c r="E22">
        <f>+(C22-C$7)/C$8</f>
        <v>0.49673564243424267</v>
      </c>
      <c r="F22">
        <f>ROUND(2*E22,0)/2</f>
        <v>0.5</v>
      </c>
      <c r="G22">
        <f>+C22-(C$7+F22*C$8)</f>
        <v>-1.180920000479091E-3</v>
      </c>
      <c r="I22">
        <f>+G22</f>
        <v>-1.180920000479091E-3</v>
      </c>
      <c r="O22">
        <f ca="1">+C$11+C$12*$F22</f>
        <v>1.8221132819608153E-2</v>
      </c>
      <c r="Q22" s="2">
        <f>+C22-15018.5</f>
        <v>40935.005700000002</v>
      </c>
    </row>
    <row r="23" spans="1:21" x14ac:dyDescent="0.2">
      <c r="A23" s="5" t="s">
        <v>56</v>
      </c>
      <c r="C23" s="8">
        <v>58816.654600000002</v>
      </c>
      <c r="D23" s="8">
        <v>2.0000000000000001E-4</v>
      </c>
      <c r="E23">
        <f>+(C23-C$7)/C$8</f>
        <v>7914.9547669262211</v>
      </c>
      <c r="F23">
        <f>ROUND(2*E23,0)/2</f>
        <v>7915</v>
      </c>
      <c r="G23">
        <f>+C23-(C$7+F23*C$8)</f>
        <v>-1.6363599999749567E-2</v>
      </c>
      <c r="K23">
        <f>+G23</f>
        <v>-1.6363599999749567E-2</v>
      </c>
      <c r="O23">
        <f ca="1">+C$11+C$12*$F23</f>
        <v>-1.6647665274320791E-2</v>
      </c>
      <c r="Q23" s="2">
        <f>+C23-15018.5</f>
        <v>43798.154600000002</v>
      </c>
    </row>
    <row r="24" spans="1:21" x14ac:dyDescent="0.2">
      <c r="A24" s="5" t="s">
        <v>55</v>
      </c>
      <c r="C24" s="8">
        <v>59184.741999999998</v>
      </c>
      <c r="D24" s="8">
        <v>2.0000000000000001E-4</v>
      </c>
      <c r="E24">
        <f>+(C24-C$7)/C$8</f>
        <v>8932.440193249784</v>
      </c>
      <c r="F24">
        <f>ROUND(2*E24,0)/2</f>
        <v>8932.5</v>
      </c>
      <c r="G24">
        <f>+C24-(C$7+F24*C$8)</f>
        <v>-2.1635800003423356E-2</v>
      </c>
      <c r="K24">
        <f>+G24</f>
        <v>-2.1635800003423356E-2</v>
      </c>
      <c r="O24">
        <f ca="1">+C$11+C$12*$F24</f>
        <v>-2.1130450296820338E-2</v>
      </c>
      <c r="Q24" s="2">
        <f>+C24-15018.5</f>
        <v>44166.241999999998</v>
      </c>
    </row>
    <row r="25" spans="1:21" x14ac:dyDescent="0.2">
      <c r="A25" s="5" t="s">
        <v>57</v>
      </c>
      <c r="C25" s="8">
        <v>59509.781080000001</v>
      </c>
      <c r="D25" s="8">
        <v>2.0000000000000001E-4</v>
      </c>
      <c r="E25">
        <f>+(C25-C$7)/C$8</f>
        <v>9830.9293207929277</v>
      </c>
      <c r="F25">
        <f>ROUND(2*E25,0)/2</f>
        <v>9831</v>
      </c>
      <c r="G25">
        <f>+C25-(C$7+F25*C$8)</f>
        <v>-2.5569040000846144E-2</v>
      </c>
      <c r="K25">
        <f>+G25</f>
        <v>-2.5569040000846144E-2</v>
      </c>
      <c r="O25">
        <f ca="1">+C$11+C$12*$F25</f>
        <v>-2.5088958741749916E-2</v>
      </c>
      <c r="Q25" s="2">
        <f>+C25-15018.5</f>
        <v>44491.281080000001</v>
      </c>
    </row>
    <row r="26" spans="1:21" x14ac:dyDescent="0.2">
      <c r="A26" s="50" t="s">
        <v>58</v>
      </c>
      <c r="B26" s="51" t="s">
        <v>54</v>
      </c>
      <c r="C26" s="52">
        <v>59530.040099999867</v>
      </c>
      <c r="D26" s="50"/>
      <c r="E26">
        <f>+(C26-C$7)/C$8</f>
        <v>9886.9303075190746</v>
      </c>
      <c r="F26">
        <f>ROUND(2*E26,0)/2</f>
        <v>9887</v>
      </c>
      <c r="G26">
        <f>+C26-(C$7+F26*C$8)</f>
        <v>-2.5212080130586401E-2</v>
      </c>
      <c r="K26">
        <f>+G26</f>
        <v>-2.5212080130586401E-2</v>
      </c>
      <c r="O26">
        <f ca="1">+C$11+C$12*$F26</f>
        <v>-2.5335677131194608E-2</v>
      </c>
      <c r="Q26" s="2">
        <f>+C26-15018.5</f>
        <v>44511.540099999867</v>
      </c>
    </row>
    <row r="27" spans="1:21" x14ac:dyDescent="0.2">
      <c r="A27" s="50" t="s">
        <v>58</v>
      </c>
      <c r="B27" s="51" t="s">
        <v>54</v>
      </c>
      <c r="C27" s="52">
        <v>59530.221100000199</v>
      </c>
      <c r="D27" s="50"/>
      <c r="E27">
        <f>+(C27-C$7)/C$8</f>
        <v>9887.4306366868277</v>
      </c>
      <c r="F27">
        <f>ROUND(2*E27,0)/2</f>
        <v>9887.5</v>
      </c>
      <c r="G27">
        <f>+C27-(C$7+F27*C$8)</f>
        <v>-2.5092999800108373E-2</v>
      </c>
      <c r="K27">
        <f>+G27</f>
        <v>-2.5092999800108373E-2</v>
      </c>
      <c r="O27">
        <f ca="1">+C$11+C$12*$F27</f>
        <v>-2.5337879973957509E-2</v>
      </c>
      <c r="Q27" s="2">
        <f>+C27-15018.5</f>
        <v>44511.721100000199</v>
      </c>
    </row>
    <row r="28" spans="1:21" x14ac:dyDescent="0.2">
      <c r="A28" s="53" t="s">
        <v>60</v>
      </c>
      <c r="B28" s="54" t="s">
        <v>54</v>
      </c>
      <c r="C28" s="55">
        <v>59531.305499999784</v>
      </c>
      <c r="D28" s="8"/>
      <c r="E28">
        <f>+(C28-C$7)/C$8</f>
        <v>9890.4281888874266</v>
      </c>
      <c r="F28">
        <f>ROUND(2*E28,0)/2</f>
        <v>9890.5</v>
      </c>
      <c r="G28">
        <f>+C28-(C$7+F28*C$8)</f>
        <v>-2.5978520214266609E-2</v>
      </c>
      <c r="K28">
        <f>+G28</f>
        <v>-2.5978520214266609E-2</v>
      </c>
      <c r="O28">
        <f ca="1">+C$11+C$12*$F28</f>
        <v>-2.5351097030534907E-2</v>
      </c>
      <c r="Q28" s="2">
        <f>+C28-15018.5</f>
        <v>44512.805499999784</v>
      </c>
    </row>
    <row r="29" spans="1:21" x14ac:dyDescent="0.2">
      <c r="A29" s="50" t="s">
        <v>58</v>
      </c>
      <c r="B29" s="51" t="s">
        <v>54</v>
      </c>
      <c r="C29" s="52">
        <v>59543.24459999986</v>
      </c>
      <c r="D29" s="50"/>
      <c r="E29">
        <f>+(C29-C$7)/C$8</f>
        <v>9923.4308405769352</v>
      </c>
      <c r="F29">
        <f>ROUND(2*E29,0)/2</f>
        <v>9923.5</v>
      </c>
      <c r="G29">
        <f>+C29-(C$7+F29*C$8)</f>
        <v>-2.5019240143592469E-2</v>
      </c>
      <c r="K29">
        <f>+G29</f>
        <v>-2.5019240143592469E-2</v>
      </c>
      <c r="O29">
        <f ca="1">+C$11+C$12*$F29</f>
        <v>-2.5496484652886241E-2</v>
      </c>
      <c r="Q29" s="2">
        <f>+C29-15018.5</f>
        <v>44524.74459999986</v>
      </c>
    </row>
    <row r="30" spans="1:21" x14ac:dyDescent="0.2">
      <c r="A30" s="50" t="s">
        <v>59</v>
      </c>
      <c r="B30" s="51" t="s">
        <v>54</v>
      </c>
      <c r="C30" s="52">
        <v>59556.448100000001</v>
      </c>
      <c r="D30" s="50">
        <v>5.0000000000000001E-4</v>
      </c>
      <c r="E30">
        <f>+(C30-C$7)/C$8</f>
        <v>9959.9286093856681</v>
      </c>
      <c r="F30">
        <f>ROUND(2*E30,0)/2</f>
        <v>9960</v>
      </c>
      <c r="G30">
        <f>+C30-(C$7+F30*C$8)</f>
        <v>-2.5826400000369176E-2</v>
      </c>
      <c r="K30">
        <f>+G30</f>
        <v>-2.5826400000369176E-2</v>
      </c>
      <c r="O30">
        <f ca="1">+C$11+C$12*$F30</f>
        <v>-2.5657292174577875E-2</v>
      </c>
      <c r="Q30" s="2">
        <f>+C30-15018.5</f>
        <v>44537.948100000001</v>
      </c>
    </row>
    <row r="31" spans="1:21" x14ac:dyDescent="0.2">
      <c r="A31" s="50" t="s">
        <v>59</v>
      </c>
      <c r="B31" s="51" t="s">
        <v>54</v>
      </c>
      <c r="C31" s="52">
        <v>59556.629800000002</v>
      </c>
      <c r="D31" s="50">
        <v>8.0000000000000004E-4</v>
      </c>
      <c r="E31">
        <f>+(C31-C$7)/C$8</f>
        <v>9960.4308735271843</v>
      </c>
      <c r="F31">
        <f>ROUND(2*E31,0)/2</f>
        <v>9960.5</v>
      </c>
      <c r="G31">
        <f>+C31-(C$7+F31*C$8)</f>
        <v>-2.5007320000440814E-2</v>
      </c>
      <c r="K31">
        <f>+G31</f>
        <v>-2.5007320000440814E-2</v>
      </c>
      <c r="O31">
        <f ca="1">+C$11+C$12*$F31</f>
        <v>-2.5659495017340769E-2</v>
      </c>
      <c r="Q31" s="2">
        <f>+C31-15018.5</f>
        <v>44538.129800000002</v>
      </c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ortState xmlns:xlrd2="http://schemas.microsoft.com/office/spreadsheetml/2017/richdata2" ref="A21:U37">
    <sortCondition ref="C21:C37"/>
  </sortState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2023-08-19T06:46:27Z</dcterms:modified>
</cp:coreProperties>
</file>