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8815DE4-14F2-405A-8929-EB94DE570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2" i="1"/>
  <c r="F42" i="1" s="1"/>
  <c r="G42" i="1" s="1"/>
  <c r="K42" i="1" s="1"/>
  <c r="Q42" i="1"/>
  <c r="E43" i="1"/>
  <c r="F43" i="1"/>
  <c r="G43" i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/>
  <c r="K47" i="1" s="1"/>
  <c r="Q47" i="1"/>
  <c r="E48" i="1"/>
  <c r="F48" i="1" s="1"/>
  <c r="G48" i="1" s="1"/>
  <c r="K48" i="1" s="1"/>
  <c r="Q48" i="1"/>
  <c r="Q39" i="1"/>
  <c r="F11" i="1"/>
  <c r="Q40" i="1"/>
  <c r="Q30" i="1"/>
  <c r="Q38" i="1"/>
  <c r="G12" i="2"/>
  <c r="C12" i="2"/>
  <c r="G13" i="2"/>
  <c r="C13" i="2"/>
  <c r="G14" i="2"/>
  <c r="C14" i="2"/>
  <c r="G15" i="2"/>
  <c r="C15" i="2"/>
  <c r="G16" i="2"/>
  <c r="C16" i="2"/>
  <c r="G17" i="2"/>
  <c r="C17" i="2"/>
  <c r="G18" i="2"/>
  <c r="C18" i="2"/>
  <c r="G26" i="2"/>
  <c r="C26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7" i="2"/>
  <c r="C27" i="2"/>
  <c r="G11" i="2"/>
  <c r="C11" i="2"/>
  <c r="H27" i="2"/>
  <c r="B27" i="2"/>
  <c r="D27" i="2"/>
  <c r="A27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26" i="2"/>
  <c r="B26" i="2"/>
  <c r="D26" i="2"/>
  <c r="A26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6" i="1"/>
  <c r="Q37" i="1"/>
  <c r="Q35" i="1"/>
  <c r="Q33" i="1"/>
  <c r="Q34" i="1"/>
  <c r="G11" i="1"/>
  <c r="E14" i="1"/>
  <c r="E15" i="1" s="1"/>
  <c r="C17" i="1"/>
  <c r="Q31" i="1"/>
  <c r="Q32" i="1"/>
  <c r="Q28" i="1"/>
  <c r="Q29" i="1"/>
  <c r="Q24" i="1"/>
  <c r="Q25" i="1"/>
  <c r="Q26" i="1"/>
  <c r="Q27" i="1"/>
  <c r="Q22" i="1"/>
  <c r="Q23" i="1"/>
  <c r="C7" i="1"/>
  <c r="E39" i="1"/>
  <c r="F39" i="1"/>
  <c r="C8" i="1"/>
  <c r="Q21" i="1"/>
  <c r="E13" i="2"/>
  <c r="E24" i="2"/>
  <c r="E12" i="2"/>
  <c r="E16" i="2"/>
  <c r="E15" i="2"/>
  <c r="E14" i="2"/>
  <c r="E33" i="1"/>
  <c r="F33" i="1"/>
  <c r="E25" i="1"/>
  <c r="F25" i="1"/>
  <c r="E36" i="1"/>
  <c r="F36" i="1"/>
  <c r="E28" i="1"/>
  <c r="F28" i="1"/>
  <c r="G28" i="1"/>
  <c r="J28" i="1"/>
  <c r="E38" i="1"/>
  <c r="F38" i="1"/>
  <c r="E30" i="1"/>
  <c r="F30" i="1"/>
  <c r="G30" i="1"/>
  <c r="K30" i="1"/>
  <c r="E23" i="1"/>
  <c r="F23" i="1"/>
  <c r="G38" i="1"/>
  <c r="K38" i="1"/>
  <c r="E22" i="1"/>
  <c r="F22" i="1"/>
  <c r="G22" i="1"/>
  <c r="J22" i="1"/>
  <c r="G37" i="1"/>
  <c r="J37" i="1"/>
  <c r="E35" i="1"/>
  <c r="F35" i="1"/>
  <c r="G35" i="1"/>
  <c r="J35" i="1"/>
  <c r="E27" i="1"/>
  <c r="F27" i="1"/>
  <c r="G27" i="1"/>
  <c r="K27" i="1"/>
  <c r="G21" i="1"/>
  <c r="E32" i="1"/>
  <c r="F32" i="1"/>
  <c r="G32" i="1"/>
  <c r="J32" i="1"/>
  <c r="E24" i="1"/>
  <c r="F24" i="1"/>
  <c r="G24" i="1"/>
  <c r="K24" i="1"/>
  <c r="G40" i="1"/>
  <c r="K40" i="1"/>
  <c r="E37" i="1"/>
  <c r="F37" i="1"/>
  <c r="E29" i="1"/>
  <c r="F29" i="1"/>
  <c r="G29" i="1"/>
  <c r="J29" i="1"/>
  <c r="G39" i="1"/>
  <c r="K39" i="1"/>
  <c r="G23" i="1"/>
  <c r="J23" i="1"/>
  <c r="E21" i="1"/>
  <c r="F21" i="1"/>
  <c r="G36" i="1"/>
  <c r="J36" i="1"/>
  <c r="E34" i="1"/>
  <c r="F34" i="1"/>
  <c r="G34" i="1"/>
  <c r="J34" i="1"/>
  <c r="E26" i="1"/>
  <c r="F26" i="1"/>
  <c r="G26" i="1"/>
  <c r="K26" i="1"/>
  <c r="E40" i="1"/>
  <c r="F40" i="1"/>
  <c r="G33" i="1"/>
  <c r="J33" i="1"/>
  <c r="E31" i="1"/>
  <c r="F31" i="1"/>
  <c r="G31" i="1"/>
  <c r="J31" i="1"/>
  <c r="G25" i="1"/>
  <c r="K25" i="1"/>
  <c r="H21" i="1"/>
  <c r="E11" i="2"/>
  <c r="E21" i="2"/>
  <c r="E26" i="2"/>
  <c r="E17" i="2"/>
  <c r="E25" i="2"/>
  <c r="E22" i="2"/>
  <c r="E23" i="2"/>
  <c r="E19" i="2"/>
  <c r="E18" i="2"/>
  <c r="E27" i="2"/>
  <c r="E20" i="2"/>
  <c r="C12" i="1"/>
  <c r="C16" i="1" l="1"/>
  <c r="D18" i="1" s="1"/>
  <c r="C11" i="1"/>
  <c r="O48" i="1" l="1"/>
  <c r="O27" i="1"/>
  <c r="O31" i="1"/>
  <c r="O40" i="1"/>
  <c r="O25" i="1"/>
  <c r="O29" i="1"/>
  <c r="O26" i="1"/>
  <c r="O28" i="1"/>
  <c r="O46" i="1"/>
  <c r="O37" i="1"/>
  <c r="O41" i="1"/>
  <c r="O45" i="1"/>
  <c r="O38" i="1"/>
  <c r="O43" i="1"/>
  <c r="O24" i="1"/>
  <c r="O32" i="1"/>
  <c r="C15" i="1"/>
  <c r="E16" i="1" s="1"/>
  <c r="E17" i="1" s="1"/>
  <c r="O30" i="1"/>
  <c r="O44" i="1"/>
  <c r="O36" i="1"/>
  <c r="O42" i="1"/>
  <c r="O21" i="1"/>
  <c r="O35" i="1"/>
  <c r="O39" i="1"/>
  <c r="O34" i="1"/>
  <c r="O47" i="1"/>
  <c r="O33" i="1"/>
  <c r="O22" i="1"/>
  <c r="O23" i="1"/>
  <c r="C18" i="1" l="1"/>
</calcChain>
</file>

<file path=xl/sharedStrings.xml><?xml version="1.0" encoding="utf-8"?>
<sst xmlns="http://schemas.openxmlformats.org/spreadsheetml/2006/main" count="256" uniqueCount="146">
  <si>
    <t>JAVSO..47..105</t>
  </si>
  <si>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</si>
  <si>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</si>
  <si>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</si>
  <si>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</si>
  <si>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</si>
  <si>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</si>
  <si>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</si>
  <si>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</si>
  <si>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</si>
  <si>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</si>
  <si>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</si>
  <si>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</si>
  <si>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</si>
  <si>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</si>
  <si>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</si>
  <si>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</si>
  <si>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</si>
  <si>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</si>
  <si>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</si>
  <si>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</si>
  <si>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</si>
  <si>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</si>
  <si>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</si>
  <si>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</si>
  <si>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4469</t>
  </si>
  <si>
    <t>II</t>
  </si>
  <si>
    <t>IBVS 5341</t>
  </si>
  <si>
    <t>I</t>
  </si>
  <si>
    <t>IBVS 5668</t>
  </si>
  <si>
    <t>DU Boo / GSC 3038-0566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</si>
  <si>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</si>
  <si>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</si>
  <si>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</si>
  <si>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</si>
  <si>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</si>
  <si>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</si>
  <si>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</si>
  <si>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</si>
  <si>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</si>
  <si>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5887</t>
  </si>
  <si>
    <t>Add cycle</t>
  </si>
  <si>
    <t>Old Cycle</t>
  </si>
  <si>
    <t>IBVS 5959</t>
  </si>
  <si>
    <t>IBVS 6010</t>
  </si>
  <si>
    <t>IBVS 6084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</si>
  <si>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</si>
  <si>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</si>
  <si>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</si>
  <si>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</si>
  <si>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</si>
  <si>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</si>
  <si>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</si>
  <si>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</si>
  <si>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</si>
  <si>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</si>
  <si>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</si>
  <si>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</si>
  <si>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2452380.2145 </t>
  </si>
  <si>
    <t> 15.04.2002 17:08 </t>
  </si>
  <si>
    <t> 0.0249 </t>
  </si>
  <si>
    <t>E </t>
  </si>
  <si>
    <t>?</t>
  </si>
  <si>
    <t> T.Pribulla et al. </t>
  </si>
  <si>
    <t>IBVS 5341 </t>
  </si>
  <si>
    <t>2452380.7202 </t>
  </si>
  <si>
    <t> 16.04.2002 05:17 </t>
  </si>
  <si>
    <t> 0.0027 </t>
  </si>
  <si>
    <t>2453056.4907 </t>
  </si>
  <si>
    <t> 20.02.2004 23:46 </t>
  </si>
  <si>
    <t> 0.0042 </t>
  </si>
  <si>
    <t>IBVS 5668 </t>
  </si>
  <si>
    <t>2453149.4121 </t>
  </si>
  <si>
    <t> 23.05.2004 21:53 </t>
  </si>
  <si>
    <t> 0.0074 </t>
  </si>
  <si>
    <t>2453388.5880 </t>
  </si>
  <si>
    <t> 18.01.2005 02:06 </t>
  </si>
  <si>
    <t> 0.0244 </t>
  </si>
  <si>
    <t>2453433.4377 </t>
  </si>
  <si>
    <t> 03.03.2005 22:30 </t>
  </si>
  <si>
    <t> -0.0012 </t>
  </si>
  <si>
    <t>2453509.4731 </t>
  </si>
  <si>
    <t> 18.05.2005 23:21 </t>
  </si>
  <si>
    <t> 0.0102 </t>
  </si>
  <si>
    <t>C </t>
  </si>
  <si>
    <t>o</t>
  </si>
  <si>
    <t> H.Jungbluth </t>
  </si>
  <si>
    <t>BAVM 178 </t>
  </si>
  <si>
    <t>2453814.6006 </t>
  </si>
  <si>
    <t> 20.03.2006 02:24 </t>
  </si>
  <si>
    <t> -0.0142 </t>
  </si>
  <si>
    <t> U.Schmidt </t>
  </si>
  <si>
    <t>2454138.2713 </t>
  </si>
  <si>
    <t> 06.02.2007 18:30 </t>
  </si>
  <si>
    <t> 0.0265 </t>
  </si>
  <si>
    <t> K.Nakajima </t>
  </si>
  <si>
    <t>VSB 46 </t>
  </si>
  <si>
    <t>2454227.4733 </t>
  </si>
  <si>
    <t> 06.05.2007 23:21 </t>
  </si>
  <si>
    <t> 0.0059 </t>
  </si>
  <si>
    <t>m</t>
  </si>
  <si>
    <t> N.Alan &amp; S.Suri </t>
  </si>
  <si>
    <t>IBVS 5887 </t>
  </si>
  <si>
    <t>2454235.4138 </t>
  </si>
  <si>
    <t> 14.05.2007 21:55 </t>
  </si>
  <si>
    <t> 0.0272 </t>
  </si>
  <si>
    <t> G.Gökay &amp; A.Demirtop </t>
  </si>
  <si>
    <t>2455341.4260 </t>
  </si>
  <si>
    <t> 24.05.2010 22:13 </t>
  </si>
  <si>
    <t> -0.0043 </t>
  </si>
  <si>
    <t>BAVM 214 </t>
  </si>
  <si>
    <t>2455682.4886 </t>
  </si>
  <si>
    <t> 30.04.2011 23:43 </t>
  </si>
  <si>
    <t> 0.0062 </t>
  </si>
  <si>
    <t>-I</t>
  </si>
  <si>
    <t> F.Agerer </t>
  </si>
  <si>
    <t>BAVM 220 </t>
  </si>
  <si>
    <t>2456418.4458 </t>
  </si>
  <si>
    <t> 05.05.2013 22:41 </t>
  </si>
  <si>
    <t>3711</t>
  </si>
  <si>
    <t> 0.0087 </t>
  </si>
  <si>
    <t>BAVM 232 </t>
  </si>
  <si>
    <t>2456730.4753 </t>
  </si>
  <si>
    <t> 13.03.2014 23:24 </t>
  </si>
  <si>
    <t>4006.5</t>
  </si>
  <si>
    <t> 0.0230 </t>
  </si>
  <si>
    <t>BAVM 238 </t>
  </si>
  <si>
    <t>2456747.3752 </t>
  </si>
  <si>
    <t> 30.03.2014 21:00 </t>
  </si>
  <si>
    <t>4022.5</t>
  </si>
  <si>
    <t> 0.0287 </t>
  </si>
  <si>
    <t>2457100.5466 </t>
  </si>
  <si>
    <t> 19.03.2015 01:07 </t>
  </si>
  <si>
    <t>4357</t>
  </si>
  <si>
    <t> 0.0052 </t>
  </si>
  <si>
    <t>BAVM 241 (=IBVS 6157) </t>
  </si>
  <si>
    <t>s5</t>
  </si>
  <si>
    <t>s6</t>
  </si>
  <si>
    <t>s7</t>
  </si>
  <si>
    <t>EB</t>
  </si>
  <si>
    <t>IBVS 6157</t>
  </si>
  <si>
    <t>VSB, 91</t>
  </si>
  <si>
    <t>JBAV, 60</t>
  </si>
  <si>
    <t>Rc</t>
  </si>
  <si>
    <t>Ic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</si>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</sst>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1" fillId="24" borderId="0" xfId="0" applyFont="1" applyFill="1" applyAlignment="1"/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2" fillId="0" borderId="0" xfId="0" applyFont="1" applyAlignment="1">
      <alignment horizontal="right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0" xfId="0" applyFont="1" applyFill="1" applyBorder="1" applyAlignment="1">
      <alignment horizontal="left" vertical="top" wrapText="1" indent="1"/>
    </xf>
    <xf numFmtId="0" fontId="5" fillId="25" borderId="20" xfId="0" applyFont="1" applyFill="1" applyBorder="1" applyAlignment="1">
      <alignment horizontal="center" vertical="top" wrapText="1"/>
    </xf>
    <xf numFmtId="0" fontId="5" fillId="25" borderId="20" xfId="0" applyFont="1" applyFill="1" applyBorder="1" applyAlignment="1">
      <alignment horizontal="right" vertical="top" wrapText="1"/>
    </xf>
    <xf numFmtId="0" fontId="20" fillId="25" borderId="20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5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Boo - O-C Diagr.</a:t>
            </a:r>
          </a:p>
        </c:rich>
      </c:tx>
      <c:layout>
        <c:manualLayout>
          <c:xMode val="edge"/>
          <c:yMode val="edge"/>
          <c:x val="0.3572749815112889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829112045911"/>
          <c:y val="0.14906854902912253"/>
          <c:w val="0.8047896610081092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BD-4177-8DF9-EBCA638BD6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D-4177-8DF9-EBCA638BD6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-0.17289999999775318</c:v>
                </c:pt>
                <c:pt idx="2">
                  <c:v>-0.19519999999465654</c:v>
                </c:pt>
                <c:pt idx="7">
                  <c:v>-0.30629999999655411</c:v>
                </c:pt>
                <c:pt idx="8">
                  <c:v>-0.3628000000026077</c:v>
                </c:pt>
                <c:pt idx="10">
                  <c:v>-0.38610000000335276</c:v>
                </c:pt>
                <c:pt idx="11">
                  <c:v>-0.36559999999735737</c:v>
                </c:pt>
                <c:pt idx="12">
                  <c:v>-0.51339999999618158</c:v>
                </c:pt>
                <c:pt idx="13">
                  <c:v>-0.53880000000208383</c:v>
                </c:pt>
                <c:pt idx="14">
                  <c:v>-0.61359999999694992</c:v>
                </c:pt>
                <c:pt idx="15">
                  <c:v>-0.63210000000253785</c:v>
                </c:pt>
                <c:pt idx="16">
                  <c:v>-0.62819999999919673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BD-4177-8DF9-EBCA638BD6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">
                  <c:v>-0.26469999999244465</c:v>
                </c:pt>
                <c:pt idx="4">
                  <c:v>-0.2713000000003376</c:v>
                </c:pt>
                <c:pt idx="5">
                  <c:v>-0.27939999999216525</c:v>
                </c:pt>
                <c:pt idx="6">
                  <c:v>-0.30969999999797437</c:v>
                </c:pt>
                <c:pt idx="9">
                  <c:v>-0.35609999999724096</c:v>
                </c:pt>
                <c:pt idx="17">
                  <c:v>-0.68879999999626307</c:v>
                </c:pt>
                <c:pt idx="18">
                  <c:v>-0.70870000000286382</c:v>
                </c:pt>
                <c:pt idx="19">
                  <c:v>-0.76419999999779975</c:v>
                </c:pt>
                <c:pt idx="20">
                  <c:v>-0.38939999991998775</c:v>
                </c:pt>
                <c:pt idx="21">
                  <c:v>-0.38740000005782349</c:v>
                </c:pt>
                <c:pt idx="22">
                  <c:v>-0.38440000003174646</c:v>
                </c:pt>
                <c:pt idx="23">
                  <c:v>-0.3896999999997206</c:v>
                </c:pt>
                <c:pt idx="24">
                  <c:v>-0.37649999978020787</c:v>
                </c:pt>
                <c:pt idx="25">
                  <c:v>-0.375</c:v>
                </c:pt>
                <c:pt idx="26">
                  <c:v>-0.37479999987408519</c:v>
                </c:pt>
                <c:pt idx="27">
                  <c:v>-0.37330000009387732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BD-4177-8DF9-EBCA638BD6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BD-4177-8DF9-EBCA638BD6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BD-4177-8DF9-EBCA638BD6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1.4999999999999999E-2</c:v>
                  </c:pt>
                  <c:pt idx="14">
                    <c:v>9.1999999999999998E-3</c:v>
                  </c:pt>
                  <c:pt idx="15">
                    <c:v>1.7500000000000002E-2</c:v>
                  </c:pt>
                  <c:pt idx="16">
                    <c:v>9.2999999999999992E-3</c:v>
                  </c:pt>
                  <c:pt idx="17">
                    <c:v>6.6E-3</c:v>
                  </c:pt>
                  <c:pt idx="18">
                    <c:v>5.0000000000000001E-4</c:v>
                  </c:pt>
                  <c:pt idx="19">
                    <c:v>3.2000000000000002E-3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BD-4177-8DF9-EBCA638BD6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1756.5</c:v>
                </c:pt>
                <c:pt idx="2">
                  <c:v>1757</c:v>
                </c:pt>
                <c:pt idx="3">
                  <c:v>2397</c:v>
                </c:pt>
                <c:pt idx="4">
                  <c:v>2485</c:v>
                </c:pt>
                <c:pt idx="5">
                  <c:v>2711.5</c:v>
                </c:pt>
                <c:pt idx="6">
                  <c:v>2754</c:v>
                </c:pt>
                <c:pt idx="7">
                  <c:v>2826</c:v>
                </c:pt>
                <c:pt idx="8">
                  <c:v>3115</c:v>
                </c:pt>
                <c:pt idx="9">
                  <c:v>3421.5</c:v>
                </c:pt>
                <c:pt idx="10">
                  <c:v>3506</c:v>
                </c:pt>
                <c:pt idx="11">
                  <c:v>3513.5</c:v>
                </c:pt>
                <c:pt idx="12">
                  <c:v>4561</c:v>
                </c:pt>
                <c:pt idx="13">
                  <c:v>4884</c:v>
                </c:pt>
                <c:pt idx="14">
                  <c:v>5581</c:v>
                </c:pt>
                <c:pt idx="15">
                  <c:v>5876.5</c:v>
                </c:pt>
                <c:pt idx="16">
                  <c:v>5892.5</c:v>
                </c:pt>
                <c:pt idx="17">
                  <c:v>6227</c:v>
                </c:pt>
                <c:pt idx="18">
                  <c:v>6582.5</c:v>
                </c:pt>
                <c:pt idx="19">
                  <c:v>6924</c:v>
                </c:pt>
                <c:pt idx="20">
                  <c:v>8312.5</c:v>
                </c:pt>
                <c:pt idx="21">
                  <c:v>8312.5</c:v>
                </c:pt>
                <c:pt idx="22">
                  <c:v>8312.5</c:v>
                </c:pt>
                <c:pt idx="23">
                  <c:v>8318.5</c:v>
                </c:pt>
                <c:pt idx="24">
                  <c:v>8339</c:v>
                </c:pt>
                <c:pt idx="25">
                  <c:v>8339</c:v>
                </c:pt>
                <c:pt idx="26">
                  <c:v>8339</c:v>
                </c:pt>
                <c:pt idx="27">
                  <c:v>8339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-0.22635385372762948</c:v>
                </c:pt>
                <c:pt idx="1">
                  <c:v>-0.28846922519981788</c:v>
                </c:pt>
                <c:pt idx="2">
                  <c:v>-0.28848690677439015</c:v>
                </c:pt>
                <c:pt idx="3">
                  <c:v>-0.31111932222682426</c:v>
                </c:pt>
                <c:pt idx="4">
                  <c:v>-0.31423127935153394</c:v>
                </c:pt>
                <c:pt idx="5">
                  <c:v>-0.322241032632747</c:v>
                </c:pt>
                <c:pt idx="6">
                  <c:v>-0.3237439664713852</c:v>
                </c:pt>
                <c:pt idx="7">
                  <c:v>-0.32629011320978407</c:v>
                </c:pt>
                <c:pt idx="8">
                  <c:v>-0.33651006331252387</c:v>
                </c:pt>
                <c:pt idx="9">
                  <c:v>-0.34734886852529112</c:v>
                </c:pt>
                <c:pt idx="10">
                  <c:v>-0.35033705462799536</c:v>
                </c:pt>
                <c:pt idx="11">
                  <c:v>-0.35060227824657852</c:v>
                </c:pt>
                <c:pt idx="12">
                  <c:v>-0.38764517697536727</c:v>
                </c:pt>
                <c:pt idx="13">
                  <c:v>-0.39906747414901766</c:v>
                </c:pt>
                <c:pt idx="14">
                  <c:v>-0.4237155891026842</c:v>
                </c:pt>
                <c:pt idx="15">
                  <c:v>-0.43416539967486278</c:v>
                </c:pt>
                <c:pt idx="16">
                  <c:v>-0.43473121006117366</c:v>
                </c:pt>
                <c:pt idx="17">
                  <c:v>-0.44656018344998494</c:v>
                </c:pt>
                <c:pt idx="18">
                  <c:v>-0.45913178297082924</c:v>
                </c:pt>
                <c:pt idx="19">
                  <c:v>-0.47120829840365153</c:v>
                </c:pt>
                <c:pt idx="20">
                  <c:v>-0.52031003099069029</c:v>
                </c:pt>
                <c:pt idx="21">
                  <c:v>-0.52031003099069029</c:v>
                </c:pt>
                <c:pt idx="22">
                  <c:v>-0.52031003099069029</c:v>
                </c:pt>
                <c:pt idx="23">
                  <c:v>-0.52052220988555686</c:v>
                </c:pt>
                <c:pt idx="24">
                  <c:v>-0.52124715444301761</c:v>
                </c:pt>
                <c:pt idx="25">
                  <c:v>-0.52124715444301761</c:v>
                </c:pt>
                <c:pt idx="26">
                  <c:v>-0.52124715444301761</c:v>
                </c:pt>
                <c:pt idx="27">
                  <c:v>-0.52124715444301761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BD-4177-8DF9-EBCA638BD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68000"/>
        <c:axId val="1"/>
      </c:scatterChart>
      <c:valAx>
        <c:axId val="69756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796039307241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06998158379376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6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7920805479423"/>
          <c:y val="0.91925596256989606"/>
          <c:w val="0.747699327639293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14</xdr:col>
      <xdr:colOff>38100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C886D2-6459-42EC-9A31-908E2BC4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14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341" TargetMode="External"/><Relationship Id="rId7" Type="http://schemas.openxmlformats.org/officeDocument/2006/relationships/hyperlink" Target="http://www.konkoly.hu/cgi-bin/IBVS?5668" TargetMode="External"/><Relationship Id="rId12" Type="http://schemas.openxmlformats.org/officeDocument/2006/relationships/hyperlink" Target="http://www.konkoly.hu/cgi-bin/IBVS?5887" TargetMode="External"/><Relationship Id="rId1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341" TargetMode="External"/><Relationship Id="rId16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68" TargetMode="External"/><Relationship Id="rId11" Type="http://schemas.openxmlformats.org/officeDocument/2006/relationships/hyperlink" Target="http://www.konkoly.hu/cgi-bin/IBVS?5887" TargetMode="External"/><Relationship Id="rId5" Type="http://schemas.openxmlformats.org/officeDocument/2006/relationships/hyperlink" Target="http://www.konkoly.hu/cgi-bin/IBVS?5668" TargetMode="External"/><Relationship Id="rId15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5668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A10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x14ac:dyDescent="0.2">
      <c r="A2" t="s">
        <v>24</v>
      </c>
      <c r="B2" s="16" t="s">
        <v>139</v>
      </c>
    </row>
    <row r="3" spans="1:7" ht="13.5" thickBot="1" x14ac:dyDescent="0.25"/>
    <row r="4" spans="1:7" ht="13.5" thickBot="1" x14ac:dyDescent="0.25">
      <c r="A4" s="8" t="s">
        <v>25</v>
      </c>
      <c r="C4" s="9">
        <v>50525.523399999998</v>
      </c>
      <c r="D4" s="10">
        <v>1.056</v>
      </c>
    </row>
    <row r="6" spans="1:7" x14ac:dyDescent="0.2">
      <c r="A6" s="5" t="s">
        <v>2</v>
      </c>
    </row>
    <row r="7" spans="1:7" x14ac:dyDescent="0.2">
      <c r="A7" t="s">
        <v>3</v>
      </c>
      <c r="C7">
        <f>+C4</f>
        <v>50525.523399999998</v>
      </c>
    </row>
    <row r="8" spans="1:7" x14ac:dyDescent="0.2">
      <c r="A8" t="s">
        <v>4</v>
      </c>
      <c r="C8">
        <f>+D4</f>
        <v>1.056</v>
      </c>
    </row>
    <row r="9" spans="1:7" x14ac:dyDescent="0.2">
      <c r="A9" s="18" t="s">
        <v>33</v>
      </c>
      <c r="B9" s="17"/>
      <c r="C9" s="19">
        <v>-9.5</v>
      </c>
      <c r="D9" s="17" t="s">
        <v>34</v>
      </c>
      <c r="E9" s="17"/>
    </row>
    <row r="10" spans="1:7" ht="13.5" thickBot="1" x14ac:dyDescent="0.25">
      <c r="A10" s="17"/>
      <c r="B10" s="17"/>
      <c r="C10" s="4" t="s">
        <v>20</v>
      </c>
      <c r="D10" s="4" t="s">
        <v>21</v>
      </c>
      <c r="E10" s="17"/>
    </row>
    <row r="11" spans="1:7" x14ac:dyDescent="0.2">
      <c r="A11" s="17" t="s">
        <v>16</v>
      </c>
      <c r="B11" s="17"/>
      <c r="C11" s="20">
        <f ca="1">INTERCEPT(INDIRECT($G$11):G992,INDIRECT($F$11):F992)</f>
        <v>-0.22635385372762948</v>
      </c>
      <c r="D11" s="3"/>
      <c r="E11" s="17"/>
      <c r="F11" s="21" t="str">
        <f>"F"&amp;E19</f>
        <v>F21</v>
      </c>
      <c r="G11" s="22" t="str">
        <f>"G"&amp;E19</f>
        <v>G21</v>
      </c>
    </row>
    <row r="12" spans="1:7" x14ac:dyDescent="0.2">
      <c r="A12" s="17" t="s">
        <v>17</v>
      </c>
      <c r="B12" s="17"/>
      <c r="C12" s="20">
        <f ca="1">SLOPE(INDIRECT($G$11):G992,INDIRECT($F$11):F992)</f>
        <v>-3.5363149144428368E-5</v>
      </c>
      <c r="D12" s="3"/>
      <c r="E12" s="17"/>
    </row>
    <row r="13" spans="1:7" x14ac:dyDescent="0.2">
      <c r="A13" s="17" t="s">
        <v>19</v>
      </c>
      <c r="B13" s="17"/>
      <c r="C13" s="3" t="s">
        <v>14</v>
      </c>
      <c r="D13" s="25" t="s">
        <v>41</v>
      </c>
      <c r="E13" s="19">
        <v>1</v>
      </c>
    </row>
    <row r="14" spans="1:7" x14ac:dyDescent="0.2">
      <c r="A14" s="17"/>
      <c r="B14" s="17"/>
      <c r="C14" s="17"/>
      <c r="D14" s="25" t="s">
        <v>35</v>
      </c>
      <c r="E14" s="26">
        <f ca="1">NOW()+15018.5+$C$9/24</f>
        <v>59970.777968865739</v>
      </c>
    </row>
    <row r="15" spans="1:7" x14ac:dyDescent="0.2">
      <c r="A15" s="23" t="s">
        <v>18</v>
      </c>
      <c r="B15" s="17"/>
      <c r="C15" s="24">
        <f ca="1">(C7+C11)+(C8+C12)*INT(MAX(F21:F3533))</f>
        <v>59330.986152845551</v>
      </c>
      <c r="D15" s="25" t="s">
        <v>42</v>
      </c>
      <c r="E15" s="26">
        <f ca="1">ROUND(2*(E14-$C$7)/$C$8,0)/2+E13</f>
        <v>8945.5</v>
      </c>
    </row>
    <row r="16" spans="1:7" x14ac:dyDescent="0.2">
      <c r="A16" s="27" t="s">
        <v>5</v>
      </c>
      <c r="B16" s="17"/>
      <c r="C16" s="28">
        <f ca="1">+C8+C12</f>
        <v>1.0559646368508557</v>
      </c>
      <c r="D16" s="25" t="s">
        <v>36</v>
      </c>
      <c r="E16" s="22">
        <f ca="1">ROUND(2*(E14-$C$15)/$C$16,0)/2+E13</f>
        <v>607</v>
      </c>
    </row>
    <row r="17" spans="1:17" ht="13.5" thickBot="1" x14ac:dyDescent="0.25">
      <c r="A17" s="25" t="s">
        <v>31</v>
      </c>
      <c r="B17" s="17"/>
      <c r="C17" s="17">
        <f>COUNT(C21:C2191)</f>
        <v>28</v>
      </c>
      <c r="D17" s="25" t="s">
        <v>37</v>
      </c>
      <c r="E17" s="29">
        <f ca="1">+$C$15+$C$16*E16-15018.5-$C$9/24</f>
        <v>44953.852520747358</v>
      </c>
    </row>
    <row r="18" spans="1:17" x14ac:dyDescent="0.2">
      <c r="A18" s="27" t="s">
        <v>6</v>
      </c>
      <c r="B18" s="17"/>
      <c r="C18" s="30">
        <f ca="1">+C15</f>
        <v>59330.986152845551</v>
      </c>
      <c r="D18" s="31">
        <f ca="1">+C16</f>
        <v>1.0559646368508557</v>
      </c>
      <c r="E18" s="32" t="s">
        <v>38</v>
      </c>
    </row>
    <row r="19" spans="1:17" ht="13.5" thickTop="1" x14ac:dyDescent="0.2">
      <c r="A19" s="33" t="s">
        <v>39</v>
      </c>
      <c r="E19" s="34">
        <v>21</v>
      </c>
    </row>
    <row r="20" spans="1:17" ht="13.5" thickBot="1" x14ac:dyDescent="0.25">
      <c r="A20" s="4" t="s">
        <v>7</v>
      </c>
      <c r="B20" s="4" t="s">
        <v>8</v>
      </c>
      <c r="C20" s="61" t="s">
        <v>9</v>
      </c>
      <c r="D20" s="61" t="s">
        <v>13</v>
      </c>
      <c r="E20" s="4" t="s">
        <v>10</v>
      </c>
      <c r="F20" s="4" t="s">
        <v>11</v>
      </c>
      <c r="G20" s="4" t="s">
        <v>12</v>
      </c>
      <c r="H20" s="60" t="s">
        <v>54</v>
      </c>
      <c r="I20" s="7" t="s">
        <v>57</v>
      </c>
      <c r="J20" s="7" t="s">
        <v>51</v>
      </c>
      <c r="K20" s="7" t="s">
        <v>49</v>
      </c>
      <c r="L20" s="7" t="s">
        <v>136</v>
      </c>
      <c r="M20" s="7" t="s">
        <v>137</v>
      </c>
      <c r="N20" s="7" t="s">
        <v>138</v>
      </c>
      <c r="O20" s="7" t="s">
        <v>23</v>
      </c>
      <c r="P20" s="6" t="s">
        <v>22</v>
      </c>
      <c r="Q20" s="4" t="s">
        <v>15</v>
      </c>
    </row>
    <row r="21" spans="1:17" x14ac:dyDescent="0.2">
      <c r="A21" s="62" t="s">
        <v>25</v>
      </c>
      <c r="C21" s="11">
        <v>50525.523399999998</v>
      </c>
      <c r="D21" s="11" t="s">
        <v>14</v>
      </c>
      <c r="E21">
        <f t="shared" ref="E21:E40" si="0">+(C21-C$7)/C$8</f>
        <v>0</v>
      </c>
      <c r="F21">
        <f>ROUND(2*E21,0)/2</f>
        <v>0</v>
      </c>
      <c r="G21">
        <f t="shared" ref="G21:G40" si="1">+C21-(C$7+F21*C$8)</f>
        <v>0</v>
      </c>
      <c r="H21">
        <f>+G21</f>
        <v>0</v>
      </c>
      <c r="O21">
        <f t="shared" ref="O21:O40" ca="1" si="2">+C$11+C$12*$F21</f>
        <v>-0.22635385372762948</v>
      </c>
      <c r="Q21" s="2">
        <f t="shared" ref="Q21:Q40" si="3">+C21-15018.5</f>
        <v>35507.023399999998</v>
      </c>
    </row>
    <row r="22" spans="1:17" x14ac:dyDescent="0.2">
      <c r="A22" t="s">
        <v>27</v>
      </c>
      <c r="B22" s="3" t="s">
        <v>26</v>
      </c>
      <c r="C22" s="11">
        <v>52380.214500000002</v>
      </c>
      <c r="D22" s="11">
        <v>2.9999999999999997E-4</v>
      </c>
      <c r="E22">
        <f t="shared" si="0"/>
        <v>1756.3362689393973</v>
      </c>
      <c r="F22">
        <f>ROUND(2*E22,0)/2</f>
        <v>1756.5</v>
      </c>
      <c r="G22">
        <f t="shared" si="1"/>
        <v>-0.17289999999775318</v>
      </c>
      <c r="J22">
        <f>+G22</f>
        <v>-0.17289999999775318</v>
      </c>
      <c r="O22">
        <f t="shared" ca="1" si="2"/>
        <v>-0.28846922519981788</v>
      </c>
      <c r="Q22" s="2">
        <f t="shared" si="3"/>
        <v>37361.714500000002</v>
      </c>
    </row>
    <row r="23" spans="1:17" x14ac:dyDescent="0.2">
      <c r="A23" t="s">
        <v>27</v>
      </c>
      <c r="B23" s="3" t="s">
        <v>28</v>
      </c>
      <c r="C23" s="11">
        <v>52380.720200000003</v>
      </c>
      <c r="D23" s="11">
        <v>2.0000000000000001E-4</v>
      </c>
      <c r="E23">
        <f t="shared" si="0"/>
        <v>1756.8151515151562</v>
      </c>
      <c r="F23">
        <f>ROUND(2*E23,0)/2</f>
        <v>1757</v>
      </c>
      <c r="G23">
        <f t="shared" si="1"/>
        <v>-0.19519999999465654</v>
      </c>
      <c r="J23">
        <f>+G23</f>
        <v>-0.19519999999465654</v>
      </c>
      <c r="O23">
        <f t="shared" ca="1" si="2"/>
        <v>-0.28848690677439015</v>
      </c>
      <c r="Q23" s="2">
        <f t="shared" si="3"/>
        <v>37362.220200000003</v>
      </c>
    </row>
    <row r="24" spans="1:17" x14ac:dyDescent="0.2">
      <c r="A24" s="12" t="s">
        <v>29</v>
      </c>
      <c r="B24" s="13" t="s">
        <v>28</v>
      </c>
      <c r="C24" s="14">
        <v>53056.490700000002</v>
      </c>
      <c r="D24" s="14">
        <v>2.9999999999999997E-4</v>
      </c>
      <c r="E24">
        <f t="shared" si="0"/>
        <v>2396.7493371212158</v>
      </c>
      <c r="F24" s="15">
        <f t="shared" ref="F24:F40" si="4">ROUND(2*E24,0)/2+0.5</f>
        <v>2397</v>
      </c>
      <c r="G24">
        <f t="shared" si="1"/>
        <v>-0.26469999999244465</v>
      </c>
      <c r="K24">
        <f>+G24</f>
        <v>-0.26469999999244465</v>
      </c>
      <c r="O24">
        <f t="shared" ca="1" si="2"/>
        <v>-0.31111932222682426</v>
      </c>
      <c r="Q24" s="2">
        <f t="shared" si="3"/>
        <v>38037.990700000002</v>
      </c>
    </row>
    <row r="25" spans="1:17" x14ac:dyDescent="0.2">
      <c r="A25" s="12" t="s">
        <v>29</v>
      </c>
      <c r="B25" s="13" t="s">
        <v>26</v>
      </c>
      <c r="C25" s="14">
        <v>53149.412100000001</v>
      </c>
      <c r="D25" s="14">
        <v>2.9999999999999997E-4</v>
      </c>
      <c r="E25">
        <f t="shared" si="0"/>
        <v>2484.743087121215</v>
      </c>
      <c r="F25" s="15">
        <f t="shared" si="4"/>
        <v>2485</v>
      </c>
      <c r="G25">
        <f t="shared" si="1"/>
        <v>-0.2713000000003376</v>
      </c>
      <c r="K25">
        <f>+G25</f>
        <v>-0.2713000000003376</v>
      </c>
      <c r="O25">
        <f t="shared" ca="1" si="2"/>
        <v>-0.31423127935153394</v>
      </c>
      <c r="Q25" s="2">
        <f t="shared" si="3"/>
        <v>38130.912100000001</v>
      </c>
    </row>
    <row r="26" spans="1:17" x14ac:dyDescent="0.2">
      <c r="A26" s="35" t="s">
        <v>29</v>
      </c>
      <c r="B26" s="36" t="s">
        <v>28</v>
      </c>
      <c r="C26" s="37">
        <v>53388.588000000003</v>
      </c>
      <c r="D26" s="37">
        <v>2.9999999999999997E-4</v>
      </c>
      <c r="E26" s="38">
        <f t="shared" si="0"/>
        <v>2711.2354166666714</v>
      </c>
      <c r="F26" s="15">
        <f t="shared" si="4"/>
        <v>2711.5</v>
      </c>
      <c r="G26">
        <f t="shared" si="1"/>
        <v>-0.27939999999216525</v>
      </c>
      <c r="K26">
        <f>+G26</f>
        <v>-0.27939999999216525</v>
      </c>
      <c r="O26">
        <f t="shared" ca="1" si="2"/>
        <v>-0.322241032632747</v>
      </c>
      <c r="Q26" s="2">
        <f t="shared" si="3"/>
        <v>38370.088000000003</v>
      </c>
    </row>
    <row r="27" spans="1:17" x14ac:dyDescent="0.2">
      <c r="A27" s="35" t="s">
        <v>29</v>
      </c>
      <c r="B27" s="36" t="s">
        <v>28</v>
      </c>
      <c r="C27" s="37">
        <v>53433.437700000002</v>
      </c>
      <c r="D27" s="37">
        <v>2.0000000000000001E-4</v>
      </c>
      <c r="E27" s="38">
        <f t="shared" si="0"/>
        <v>2753.7067234848523</v>
      </c>
      <c r="F27" s="15">
        <f t="shared" si="4"/>
        <v>2754</v>
      </c>
      <c r="G27">
        <f t="shared" si="1"/>
        <v>-0.30969999999797437</v>
      </c>
      <c r="K27">
        <f>+G27</f>
        <v>-0.30969999999797437</v>
      </c>
      <c r="O27">
        <f t="shared" ca="1" si="2"/>
        <v>-0.3237439664713852</v>
      </c>
      <c r="Q27" s="2">
        <f t="shared" si="3"/>
        <v>38414.937700000002</v>
      </c>
    </row>
    <row r="28" spans="1:17" x14ac:dyDescent="0.2">
      <c r="A28" s="39" t="s">
        <v>32</v>
      </c>
      <c r="B28" s="40"/>
      <c r="C28" s="41">
        <v>53509.473100000003</v>
      </c>
      <c r="D28" s="41">
        <v>2.5000000000000001E-3</v>
      </c>
      <c r="E28" s="38">
        <f t="shared" si="0"/>
        <v>2825.7099431818224</v>
      </c>
      <c r="F28" s="15">
        <f t="shared" si="4"/>
        <v>2826</v>
      </c>
      <c r="G28">
        <f t="shared" si="1"/>
        <v>-0.30629999999655411</v>
      </c>
      <c r="J28">
        <f>+G28</f>
        <v>-0.30629999999655411</v>
      </c>
      <c r="O28">
        <f t="shared" ca="1" si="2"/>
        <v>-0.32629011320978407</v>
      </c>
      <c r="Q28" s="2">
        <f t="shared" si="3"/>
        <v>38490.973100000003</v>
      </c>
    </row>
    <row r="29" spans="1:17" x14ac:dyDescent="0.2">
      <c r="A29" s="39" t="s">
        <v>32</v>
      </c>
      <c r="B29" s="40"/>
      <c r="C29" s="41">
        <v>53814.600599999998</v>
      </c>
      <c r="D29" s="41">
        <v>3.0999999999999999E-3</v>
      </c>
      <c r="E29" s="38">
        <f t="shared" si="0"/>
        <v>3114.6564393939389</v>
      </c>
      <c r="F29" s="15">
        <f t="shared" si="4"/>
        <v>3115</v>
      </c>
      <c r="G29">
        <f t="shared" si="1"/>
        <v>-0.3628000000026077</v>
      </c>
      <c r="J29">
        <f>+G29</f>
        <v>-0.3628000000026077</v>
      </c>
      <c r="O29">
        <f t="shared" ca="1" si="2"/>
        <v>-0.33651006331252387</v>
      </c>
      <c r="Q29" s="2">
        <f t="shared" si="3"/>
        <v>38796.100599999998</v>
      </c>
    </row>
    <row r="30" spans="1:17" x14ac:dyDescent="0.2">
      <c r="A30" s="58" t="s">
        <v>96</v>
      </c>
      <c r="B30" s="59" t="s">
        <v>26</v>
      </c>
      <c r="C30" s="58">
        <v>54138.2713</v>
      </c>
      <c r="D30" s="58" t="s">
        <v>57</v>
      </c>
      <c r="E30" s="38">
        <f t="shared" si="0"/>
        <v>3421.1627840909109</v>
      </c>
      <c r="F30" s="15">
        <f t="shared" si="4"/>
        <v>3421.5</v>
      </c>
      <c r="G30">
        <f t="shared" si="1"/>
        <v>-0.35609999999724096</v>
      </c>
      <c r="K30">
        <f>+G30</f>
        <v>-0.35609999999724096</v>
      </c>
      <c r="O30">
        <f t="shared" ca="1" si="2"/>
        <v>-0.34734886852529112</v>
      </c>
      <c r="Q30" s="2">
        <f t="shared" si="3"/>
        <v>39119.7713</v>
      </c>
    </row>
    <row r="31" spans="1:17" x14ac:dyDescent="0.2">
      <c r="A31" s="41" t="s">
        <v>40</v>
      </c>
      <c r="B31" s="42" t="s">
        <v>28</v>
      </c>
      <c r="C31" s="41">
        <v>54227.473299999998</v>
      </c>
      <c r="D31" s="41">
        <v>2.0000000000000001E-4</v>
      </c>
      <c r="E31" s="38">
        <f t="shared" si="0"/>
        <v>3505.6343749999996</v>
      </c>
      <c r="F31" s="15">
        <f t="shared" si="4"/>
        <v>3506</v>
      </c>
      <c r="G31">
        <f t="shared" si="1"/>
        <v>-0.38610000000335276</v>
      </c>
      <c r="J31">
        <f t="shared" ref="J31:J37" si="5">+G31</f>
        <v>-0.38610000000335276</v>
      </c>
      <c r="O31">
        <f t="shared" ca="1" si="2"/>
        <v>-0.35033705462799536</v>
      </c>
      <c r="Q31" s="2">
        <f t="shared" si="3"/>
        <v>39208.973299999998</v>
      </c>
    </row>
    <row r="32" spans="1:17" x14ac:dyDescent="0.2">
      <c r="A32" s="41" t="s">
        <v>40</v>
      </c>
      <c r="B32" s="42" t="s">
        <v>26</v>
      </c>
      <c r="C32" s="41">
        <v>54235.413800000002</v>
      </c>
      <c r="D32" s="41">
        <v>2.0000000000000001E-4</v>
      </c>
      <c r="E32" s="38">
        <f t="shared" si="0"/>
        <v>3513.1537878787913</v>
      </c>
      <c r="F32" s="15">
        <f t="shared" si="4"/>
        <v>3513.5</v>
      </c>
      <c r="G32">
        <f t="shared" si="1"/>
        <v>-0.36559999999735737</v>
      </c>
      <c r="J32">
        <f t="shared" si="5"/>
        <v>-0.36559999999735737</v>
      </c>
      <c r="O32">
        <f t="shared" ca="1" si="2"/>
        <v>-0.35060227824657852</v>
      </c>
      <c r="Q32" s="2">
        <f t="shared" si="3"/>
        <v>39216.913800000002</v>
      </c>
    </row>
    <row r="33" spans="1:17" x14ac:dyDescent="0.2">
      <c r="A33" s="43" t="s">
        <v>43</v>
      </c>
      <c r="B33" s="44" t="s">
        <v>28</v>
      </c>
      <c r="C33" s="43">
        <v>55341.425999999999</v>
      </c>
      <c r="D33" s="43">
        <v>1.8E-3</v>
      </c>
      <c r="E33" s="38">
        <f t="shared" si="0"/>
        <v>4560.5138257575763</v>
      </c>
      <c r="F33" s="15">
        <f t="shared" si="4"/>
        <v>4561</v>
      </c>
      <c r="G33">
        <f t="shared" si="1"/>
        <v>-0.51339999999618158</v>
      </c>
      <c r="J33">
        <f t="shared" si="5"/>
        <v>-0.51339999999618158</v>
      </c>
      <c r="O33">
        <f t="shared" ca="1" si="2"/>
        <v>-0.38764517697536727</v>
      </c>
      <c r="Q33" s="2">
        <f t="shared" si="3"/>
        <v>40322.925999999999</v>
      </c>
    </row>
    <row r="34" spans="1:17" x14ac:dyDescent="0.2">
      <c r="A34" s="43" t="s">
        <v>44</v>
      </c>
      <c r="B34" s="44" t="s">
        <v>28</v>
      </c>
      <c r="C34" s="43">
        <v>55682.488599999997</v>
      </c>
      <c r="D34" s="43">
        <v>1.4999999999999999E-2</v>
      </c>
      <c r="E34" s="38">
        <f t="shared" si="0"/>
        <v>4883.489772727271</v>
      </c>
      <c r="F34" s="15">
        <f t="shared" si="4"/>
        <v>4884</v>
      </c>
      <c r="G34">
        <f t="shared" si="1"/>
        <v>-0.53880000000208383</v>
      </c>
      <c r="J34">
        <f t="shared" si="5"/>
        <v>-0.53880000000208383</v>
      </c>
      <c r="O34">
        <f t="shared" ca="1" si="2"/>
        <v>-0.39906747414901766</v>
      </c>
      <c r="Q34" s="2">
        <f t="shared" si="3"/>
        <v>40663.988599999997</v>
      </c>
    </row>
    <row r="35" spans="1:17" x14ac:dyDescent="0.2">
      <c r="A35" s="41" t="s">
        <v>45</v>
      </c>
      <c r="B35" s="42" t="s">
        <v>28</v>
      </c>
      <c r="C35" s="41">
        <v>56418.445800000001</v>
      </c>
      <c r="D35" s="41">
        <v>9.1999999999999998E-3</v>
      </c>
      <c r="E35" s="38">
        <f t="shared" si="0"/>
        <v>5580.4189393939423</v>
      </c>
      <c r="F35" s="15">
        <f t="shared" si="4"/>
        <v>5581</v>
      </c>
      <c r="G35">
        <f t="shared" si="1"/>
        <v>-0.61359999999694992</v>
      </c>
      <c r="J35">
        <f t="shared" si="5"/>
        <v>-0.61359999999694992</v>
      </c>
      <c r="O35">
        <f t="shared" ca="1" si="2"/>
        <v>-0.4237155891026842</v>
      </c>
      <c r="Q35" s="2">
        <f t="shared" si="3"/>
        <v>41399.945800000001</v>
      </c>
    </row>
    <row r="36" spans="1:17" x14ac:dyDescent="0.2">
      <c r="A36" s="37" t="s">
        <v>46</v>
      </c>
      <c r="B36" s="36" t="s">
        <v>28</v>
      </c>
      <c r="C36" s="37">
        <v>56730.475299999998</v>
      </c>
      <c r="D36" s="37">
        <v>1.7500000000000002E-2</v>
      </c>
      <c r="E36" s="38">
        <f t="shared" si="0"/>
        <v>5875.9014204545456</v>
      </c>
      <c r="F36" s="15">
        <f t="shared" si="4"/>
        <v>5876.5</v>
      </c>
      <c r="G36">
        <f t="shared" si="1"/>
        <v>-0.63210000000253785</v>
      </c>
      <c r="J36">
        <f t="shared" si="5"/>
        <v>-0.63210000000253785</v>
      </c>
      <c r="O36">
        <f t="shared" ca="1" si="2"/>
        <v>-0.43416539967486278</v>
      </c>
      <c r="Q36" s="2">
        <f t="shared" si="3"/>
        <v>41711.975299999998</v>
      </c>
    </row>
    <row r="37" spans="1:17" x14ac:dyDescent="0.2">
      <c r="A37" s="37" t="s">
        <v>46</v>
      </c>
      <c r="B37" s="36" t="s">
        <v>28</v>
      </c>
      <c r="C37" s="37">
        <v>56747.375200000002</v>
      </c>
      <c r="D37" s="37">
        <v>9.2999999999999992E-3</v>
      </c>
      <c r="E37" s="38">
        <f t="shared" si="0"/>
        <v>5891.9051136363669</v>
      </c>
      <c r="F37" s="15">
        <f t="shared" si="4"/>
        <v>5892.5</v>
      </c>
      <c r="G37">
        <f t="shared" si="1"/>
        <v>-0.62819999999919673</v>
      </c>
      <c r="J37">
        <f t="shared" si="5"/>
        <v>-0.62819999999919673</v>
      </c>
      <c r="O37">
        <f t="shared" ca="1" si="2"/>
        <v>-0.43473121006117366</v>
      </c>
      <c r="Q37" s="2">
        <f t="shared" si="3"/>
        <v>41728.875200000002</v>
      </c>
    </row>
    <row r="38" spans="1:17" x14ac:dyDescent="0.2">
      <c r="A38" s="41" t="s">
        <v>140</v>
      </c>
      <c r="B38" s="42"/>
      <c r="C38" s="41">
        <v>57100.546600000001</v>
      </c>
      <c r="D38" s="41">
        <v>6.6E-3</v>
      </c>
      <c r="E38" s="38">
        <f t="shared" si="0"/>
        <v>6226.3477272727305</v>
      </c>
      <c r="F38" s="15">
        <f t="shared" si="4"/>
        <v>6227</v>
      </c>
      <c r="G38">
        <f t="shared" si="1"/>
        <v>-0.68879999999626307</v>
      </c>
      <c r="K38">
        <f>+G38</f>
        <v>-0.68879999999626307</v>
      </c>
      <c r="O38">
        <f t="shared" ca="1" si="2"/>
        <v>-0.44656018344998494</v>
      </c>
      <c r="Q38" s="2">
        <f t="shared" si="3"/>
        <v>42082.046600000001</v>
      </c>
    </row>
    <row r="39" spans="1:17" x14ac:dyDescent="0.2">
      <c r="A39" s="66" t="s">
        <v>0</v>
      </c>
      <c r="B39" s="67" t="s">
        <v>26</v>
      </c>
      <c r="C39" s="66">
        <v>57475.934699999998</v>
      </c>
      <c r="D39" s="66">
        <v>5.0000000000000001E-4</v>
      </c>
      <c r="E39" s="62">
        <f t="shared" si="0"/>
        <v>6581.8288825757572</v>
      </c>
      <c r="F39" s="15">
        <f t="shared" si="4"/>
        <v>6582.5</v>
      </c>
      <c r="G39">
        <f t="shared" si="1"/>
        <v>-0.70870000000286382</v>
      </c>
      <c r="K39">
        <f>+G39</f>
        <v>-0.70870000000286382</v>
      </c>
      <c r="O39">
        <f t="shared" ca="1" si="2"/>
        <v>-0.45913178297082924</v>
      </c>
      <c r="Q39" s="2">
        <f t="shared" si="3"/>
        <v>42457.434699999998</v>
      </c>
    </row>
    <row r="40" spans="1:17" x14ac:dyDescent="0.2">
      <c r="A40" s="63" t="s">
        <v>1</v>
      </c>
      <c r="B40" s="64" t="s">
        <v>28</v>
      </c>
      <c r="C40" s="65">
        <v>57836.503199999999</v>
      </c>
      <c r="D40" s="65">
        <v>3.2000000000000002E-3</v>
      </c>
      <c r="E40" s="62">
        <f t="shared" si="0"/>
        <v>6923.2763257575762</v>
      </c>
      <c r="F40" s="15">
        <f t="shared" si="4"/>
        <v>6924</v>
      </c>
      <c r="G40">
        <f t="shared" si="1"/>
        <v>-0.76419999999779975</v>
      </c>
      <c r="K40">
        <f>+G40</f>
        <v>-0.76419999999779975</v>
      </c>
      <c r="O40">
        <f t="shared" ca="1" si="2"/>
        <v>-0.47120829840365153</v>
      </c>
      <c r="Q40" s="2">
        <f t="shared" si="3"/>
        <v>42818.003199999999</v>
      </c>
    </row>
    <row r="41" spans="1:17" x14ac:dyDescent="0.2">
      <c r="A41" s="68" t="s">
        <v>141</v>
      </c>
      <c r="B41" s="69" t="s">
        <v>28</v>
      </c>
      <c r="C41" s="70">
        <v>59303.134000000078</v>
      </c>
      <c r="D41" s="68" t="s">
        <v>143</v>
      </c>
      <c r="E41" s="62">
        <f t="shared" ref="E41:E48" si="6">+(C41-C$7)/C$8</f>
        <v>8312.1312500000749</v>
      </c>
      <c r="F41" s="15">
        <f t="shared" ref="F41:F48" si="7">ROUND(2*E41,0)/2+0.5</f>
        <v>8312.5</v>
      </c>
      <c r="G41">
        <f t="shared" ref="G41:G48" si="8">+C41-(C$7+F41*C$8)</f>
        <v>-0.38939999991998775</v>
      </c>
      <c r="K41">
        <f t="shared" ref="K41:K48" si="9">+G41</f>
        <v>-0.38939999991998775</v>
      </c>
      <c r="O41">
        <f t="shared" ref="O41:O48" ca="1" si="10">+C$11+C$12*$F41</f>
        <v>-0.52031003099069029</v>
      </c>
      <c r="Q41" s="2">
        <f t="shared" ref="Q41:Q48" si="11">+C41-15018.5</f>
        <v>44284.634000000078</v>
      </c>
    </row>
    <row r="42" spans="1:17" x14ac:dyDescent="0.2">
      <c r="A42" s="68" t="s">
        <v>141</v>
      </c>
      <c r="B42" s="69" t="s">
        <v>28</v>
      </c>
      <c r="C42" s="70">
        <v>59303.13599999994</v>
      </c>
      <c r="D42" s="68" t="s">
        <v>56</v>
      </c>
      <c r="E42" s="62">
        <f t="shared" si="6"/>
        <v>8312.133143939338</v>
      </c>
      <c r="F42" s="15">
        <f t="shared" si="7"/>
        <v>8312.5</v>
      </c>
      <c r="G42">
        <f t="shared" si="8"/>
        <v>-0.38740000005782349</v>
      </c>
      <c r="K42">
        <f t="shared" si="9"/>
        <v>-0.38740000005782349</v>
      </c>
      <c r="O42">
        <f t="shared" ca="1" si="10"/>
        <v>-0.52031003099069029</v>
      </c>
      <c r="Q42" s="2">
        <f t="shared" si="11"/>
        <v>44284.63599999994</v>
      </c>
    </row>
    <row r="43" spans="1:17" x14ac:dyDescent="0.2">
      <c r="A43" s="68" t="s">
        <v>141</v>
      </c>
      <c r="B43" s="69" t="s">
        <v>28</v>
      </c>
      <c r="C43" s="70">
        <v>59303.138999999966</v>
      </c>
      <c r="D43" s="68" t="s">
        <v>144</v>
      </c>
      <c r="E43" s="62">
        <f t="shared" si="6"/>
        <v>8312.1359848484535</v>
      </c>
      <c r="F43" s="15">
        <f t="shared" si="7"/>
        <v>8312.5</v>
      </c>
      <c r="G43">
        <f t="shared" si="8"/>
        <v>-0.38440000003174646</v>
      </c>
      <c r="K43">
        <f t="shared" si="9"/>
        <v>-0.38440000003174646</v>
      </c>
      <c r="O43">
        <f t="shared" ca="1" si="10"/>
        <v>-0.52031003099069029</v>
      </c>
      <c r="Q43" s="2">
        <f t="shared" si="11"/>
        <v>44284.638999999966</v>
      </c>
    </row>
    <row r="44" spans="1:17" x14ac:dyDescent="0.2">
      <c r="A44" s="68" t="s">
        <v>142</v>
      </c>
      <c r="B44" s="69" t="s">
        <v>28</v>
      </c>
      <c r="C44" s="70">
        <v>59309.469700000001</v>
      </c>
      <c r="D44" s="68">
        <v>2E-3</v>
      </c>
      <c r="E44" s="62">
        <f t="shared" si="6"/>
        <v>8318.130965909093</v>
      </c>
      <c r="F44" s="15">
        <f t="shared" si="7"/>
        <v>8318.5</v>
      </c>
      <c r="G44">
        <f t="shared" si="8"/>
        <v>-0.3896999999997206</v>
      </c>
      <c r="K44">
        <f t="shared" si="9"/>
        <v>-0.3896999999997206</v>
      </c>
      <c r="O44">
        <f t="shared" ca="1" si="10"/>
        <v>-0.52052220988555686</v>
      </c>
      <c r="Q44" s="2">
        <f t="shared" si="11"/>
        <v>44290.969700000001</v>
      </c>
    </row>
    <row r="45" spans="1:17" x14ac:dyDescent="0.2">
      <c r="A45" s="68" t="s">
        <v>141</v>
      </c>
      <c r="B45" s="69" t="s">
        <v>28</v>
      </c>
      <c r="C45" s="70">
        <v>59331.130900000222</v>
      </c>
      <c r="D45" s="68" t="s">
        <v>143</v>
      </c>
      <c r="E45" s="62">
        <f t="shared" si="6"/>
        <v>8338.6434659093029</v>
      </c>
      <c r="F45" s="15">
        <f t="shared" si="7"/>
        <v>8339</v>
      </c>
      <c r="G45">
        <f t="shared" si="8"/>
        <v>-0.37649999978020787</v>
      </c>
      <c r="K45">
        <f t="shared" si="9"/>
        <v>-0.37649999978020787</v>
      </c>
      <c r="O45">
        <f t="shared" ca="1" si="10"/>
        <v>-0.52124715444301761</v>
      </c>
      <c r="Q45" s="2">
        <f t="shared" si="11"/>
        <v>44312.630900000222</v>
      </c>
    </row>
    <row r="46" spans="1:17" x14ac:dyDescent="0.2">
      <c r="A46" s="68" t="s">
        <v>141</v>
      </c>
      <c r="B46" s="69" t="s">
        <v>28</v>
      </c>
      <c r="C46" s="70">
        <v>59331.132400000002</v>
      </c>
      <c r="D46" s="68" t="s">
        <v>56</v>
      </c>
      <c r="E46" s="62">
        <f t="shared" si="6"/>
        <v>8338.6448863636397</v>
      </c>
      <c r="F46" s="15">
        <f t="shared" si="7"/>
        <v>8339</v>
      </c>
      <c r="G46">
        <f t="shared" si="8"/>
        <v>-0.375</v>
      </c>
      <c r="K46">
        <f t="shared" si="9"/>
        <v>-0.375</v>
      </c>
      <c r="O46">
        <f t="shared" ca="1" si="10"/>
        <v>-0.52124715444301761</v>
      </c>
      <c r="Q46" s="2">
        <f t="shared" si="11"/>
        <v>44312.632400000002</v>
      </c>
    </row>
    <row r="47" spans="1:17" x14ac:dyDescent="0.2">
      <c r="A47" s="68" t="s">
        <v>141</v>
      </c>
      <c r="B47" s="69" t="s">
        <v>28</v>
      </c>
      <c r="C47" s="70">
        <v>59331.132600000128</v>
      </c>
      <c r="D47" s="68" t="s">
        <v>144</v>
      </c>
      <c r="E47" s="62">
        <f t="shared" si="6"/>
        <v>8338.6450757576986</v>
      </c>
      <c r="F47" s="15">
        <f t="shared" si="7"/>
        <v>8339</v>
      </c>
      <c r="G47">
        <f t="shared" si="8"/>
        <v>-0.37479999987408519</v>
      </c>
      <c r="K47">
        <f t="shared" si="9"/>
        <v>-0.37479999987408519</v>
      </c>
      <c r="O47">
        <f t="shared" ca="1" si="10"/>
        <v>-0.52124715444301761</v>
      </c>
      <c r="Q47" s="2">
        <f t="shared" si="11"/>
        <v>44312.632600000128</v>
      </c>
    </row>
    <row r="48" spans="1:17" x14ac:dyDescent="0.2">
      <c r="A48" s="68" t="s">
        <v>141</v>
      </c>
      <c r="B48" s="69" t="s">
        <v>28</v>
      </c>
      <c r="C48" s="70">
        <v>59331.134099999908</v>
      </c>
      <c r="D48" s="68" t="s">
        <v>145</v>
      </c>
      <c r="E48" s="62">
        <f t="shared" si="6"/>
        <v>8338.6464962120353</v>
      </c>
      <c r="F48" s="15">
        <f t="shared" si="7"/>
        <v>8339</v>
      </c>
      <c r="G48">
        <f t="shared" si="8"/>
        <v>-0.37330000009387732</v>
      </c>
      <c r="K48">
        <f t="shared" si="9"/>
        <v>-0.37330000009387732</v>
      </c>
      <c r="O48">
        <f t="shared" ca="1" si="10"/>
        <v>-0.52124715444301761</v>
      </c>
      <c r="Q48" s="2">
        <f t="shared" si="11"/>
        <v>44312.634099999908</v>
      </c>
    </row>
  </sheetData>
  <phoneticPr fontId="8" type="noConversion"/>
  <hyperlinks>
    <hyperlink ref="H64757" r:id="rId1" display="http://vsolj.cetus-net.org/bulletin.html" xr:uid="{00000000-0004-0000-0000-000000000000}"/>
    <hyperlink ref="H64750" r:id="rId2" display="https://www.aavso.org/ejaavso" xr:uid="{00000000-0004-0000-0000-000001000000}"/>
    <hyperlink ref="AP1608" r:id="rId3" display="http://cdsbib.u-strasbg.fr/cgi-bin/cdsbib?1990RMxAA..21..381G" xr:uid="{00000000-0004-0000-0000-000002000000}"/>
    <hyperlink ref="AP1605" r:id="rId4" display="http://cdsbib.u-strasbg.fr/cgi-bin/cdsbib?1990RMxAA..21..381G" xr:uid="{00000000-0004-0000-0000-000003000000}"/>
    <hyperlink ref="AP1607" r:id="rId5" display="http://cdsbib.u-strasbg.fr/cgi-bin/cdsbib?1990RMxAA..21..381G" xr:uid="{00000000-0004-0000-0000-000004000000}"/>
    <hyperlink ref="AP1583" r:id="rId6" display="http://cdsbib.u-strasbg.fr/cgi-bin/cdsbib?1990RMxAA..21..381G" xr:uid="{00000000-0004-0000-0000-000005000000}"/>
    <hyperlink ref="I64757" r:id="rId7" display="http://vsolj.cetus-net.org/bulletin.html" xr:uid="{00000000-0004-0000-0000-000006000000}"/>
    <hyperlink ref="AQ1744" r:id="rId8" display="http://cdsbib.u-strasbg.fr/cgi-bin/cdsbib?1990RMxAA..21..381G" xr:uid="{00000000-0004-0000-0000-000007000000}"/>
    <hyperlink ref="AQ3388" r:id="rId9" display="http://cdsbib.u-strasbg.fr/cgi-bin/cdsbib?1990RMxAA..21..381G" xr:uid="{00000000-0004-0000-0000-000008000000}"/>
    <hyperlink ref="AQ1745" r:id="rId10" display="http://cdsbib.u-strasbg.fr/cgi-bin/cdsbib?1990RMxAA..21..381G" xr:uid="{00000000-0004-0000-0000-000009000000}"/>
    <hyperlink ref="H64754" r:id="rId11" display="https://www.aavso.org/ejaavso" xr:uid="{00000000-0004-0000-0000-00000A000000}"/>
    <hyperlink ref="H2595" r:id="rId12" display="http://vsolj.cetus-net.org/bulletin.html" xr:uid="{00000000-0004-0000-0000-00000B000000}"/>
    <hyperlink ref="AP5833" r:id="rId13" display="http://cdsbib.u-strasbg.fr/cgi-bin/cdsbib?1990RMxAA..21..381G" xr:uid="{00000000-0004-0000-0000-00000C000000}"/>
    <hyperlink ref="AP5836" r:id="rId14" display="http://cdsbib.u-strasbg.fr/cgi-bin/cdsbib?1990RMxAA..21..381G" xr:uid="{00000000-0004-0000-0000-00000D000000}"/>
    <hyperlink ref="AP5834" r:id="rId15" display="http://cdsbib.u-strasbg.fr/cgi-bin/cdsbib?1990RMxAA..21..381G" xr:uid="{00000000-0004-0000-0000-00000E000000}"/>
    <hyperlink ref="AP5812" r:id="rId16" display="http://cdsbib.u-strasbg.fr/cgi-bin/cdsbib?1990RMxAA..21..381G" xr:uid="{00000000-0004-0000-0000-00000F000000}"/>
    <hyperlink ref="I2595" r:id="rId17" display="http://vsolj.cetus-net.org/bulletin.html" xr:uid="{00000000-0004-0000-0000-000010000000}"/>
    <hyperlink ref="AQ5946" r:id="rId18" display="http://cdsbib.u-strasbg.fr/cgi-bin/cdsbib?1990RMxAA..21..381G" xr:uid="{00000000-0004-0000-0000-000011000000}"/>
    <hyperlink ref="AQ498" r:id="rId19" display="http://cdsbib.u-strasbg.fr/cgi-bin/cdsbib?1990RMxAA..21..381G" xr:uid="{00000000-0004-0000-0000-000012000000}"/>
    <hyperlink ref="AQ5947" r:id="rId20" display="http://cdsbib.u-strasbg.fr/cgi-bin/cdsbib?1990RMxAA..21..381G" xr:uid="{00000000-0004-0000-0000-000013000000}"/>
    <hyperlink ref="H64857" r:id="rId21" display="http://vsolj.cetus-net.org/bulletin.html" xr:uid="{00000000-0004-0000-0000-000014000000}"/>
    <hyperlink ref="H64850" r:id="rId22" display="https://www.aavso.org/ejaavso" xr:uid="{00000000-0004-0000-0000-000015000000}"/>
    <hyperlink ref="I64857" r:id="rId23" display="http://vsolj.cetus-net.org/bulletin.html" xr:uid="{00000000-0004-0000-0000-000016000000}"/>
    <hyperlink ref="AQ58508" r:id="rId24" display="http://cdsbib.u-strasbg.fr/cgi-bin/cdsbib?1990RMxAA..21..381G" xr:uid="{00000000-0004-0000-0000-000017000000}"/>
    <hyperlink ref="H64854" r:id="rId25" display="https://www.aavso.org/ejaavso" xr:uid="{00000000-0004-0000-0000-000018000000}"/>
    <hyperlink ref="AP5872" r:id="rId26" display="http://cdsbib.u-strasbg.fr/cgi-bin/cdsbib?1990RMxAA..21..381G" xr:uid="{00000000-0004-0000-0000-000019000000}"/>
    <hyperlink ref="AP5875" r:id="rId27" display="http://cdsbib.u-strasbg.fr/cgi-bin/cdsbib?1990RMxAA..21..381G" xr:uid="{00000000-0004-0000-0000-00001A000000}"/>
    <hyperlink ref="AP5873" r:id="rId28" display="http://cdsbib.u-strasbg.fr/cgi-bin/cdsbib?1990RMxAA..21..381G" xr:uid="{00000000-0004-0000-0000-00001B000000}"/>
    <hyperlink ref="AP5857" r:id="rId29" display="http://cdsbib.u-strasbg.fr/cgi-bin/cdsbib?1990RMxAA..21..381G" xr:uid="{00000000-0004-0000-0000-00001C000000}"/>
    <hyperlink ref="AQ6086" r:id="rId30" display="http://cdsbib.u-strasbg.fr/cgi-bin/cdsbib?1990RMxAA..21..381G" xr:uid="{00000000-0004-0000-0000-00001D000000}"/>
    <hyperlink ref="AQ6090" r:id="rId31" display="http://cdsbib.u-strasbg.fr/cgi-bin/cdsbib?1990RMxAA..21..381G" xr:uid="{00000000-0004-0000-0000-00001E000000}"/>
    <hyperlink ref="AQ234" r:id="rId32" display="http://cdsbib.u-strasbg.fr/cgi-bin/cdsbib?1990RMxAA..21..381G" xr:uid="{00000000-0004-0000-0000-00001F000000}"/>
    <hyperlink ref="I2978" r:id="rId33" display="http://vsolj.cetus-net.org/bulletin.html" xr:uid="{00000000-0004-0000-0000-000020000000}"/>
    <hyperlink ref="H2978" r:id="rId34" display="http://vsolj.cetus-net.org/bulletin.html" xr:uid="{00000000-0004-0000-0000-000021000000}"/>
    <hyperlink ref="AQ895" r:id="rId35" display="http://cdsbib.u-strasbg.fr/cgi-bin/cdsbib?1990RMxAA..21..381G" xr:uid="{00000000-0004-0000-0000-000022000000}"/>
    <hyperlink ref="AQ894" r:id="rId36" display="http://cdsbib.u-strasbg.fr/cgi-bin/cdsbib?1990RMxAA..21..381G" xr:uid="{00000000-0004-0000-0000-000023000000}"/>
    <hyperlink ref="AP4148" r:id="rId37" display="http://cdsbib.u-strasbg.fr/cgi-bin/cdsbib?1990RMxAA..21..381G" xr:uid="{00000000-0004-0000-0000-000024000000}"/>
    <hyperlink ref="AP4166" r:id="rId38" display="http://cdsbib.u-strasbg.fr/cgi-bin/cdsbib?1990RMxAA..21..381G" xr:uid="{00000000-0004-0000-0000-000025000000}"/>
    <hyperlink ref="AP4167" r:id="rId39" display="http://cdsbib.u-strasbg.fr/cgi-bin/cdsbib?1990RMxAA..21..381G" xr:uid="{00000000-0004-0000-0000-000026000000}"/>
    <hyperlink ref="AP4163" r:id="rId40" display="http://cdsbib.u-strasbg.fr/cgi-bin/cdsbib?1990RMxAA..21..381G" xr:uid="{00000000-0004-0000-0000-000027000000}"/>
  </hyperlinks>
  <pageMargins left="0.75" right="0.75" top="1" bottom="1" header="0.5" footer="0.5"/>
  <pageSetup orientation="portrait" verticalDpi="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7"/>
  <sheetViews>
    <sheetView topLeftCell="A4" workbookViewId="0">
      <selection activeCell="A26" sqref="A26:D27"/>
    </sheetView>
  </sheetViews>
  <sheetFormatPr defaultRowHeight="12.75" x14ac:dyDescent="0.2"/>
  <cols>
    <col min="1" max="1" width="19.7109375" style="11" customWidth="1"/>
    <col min="2" max="2" width="4.42578125" style="17" customWidth="1"/>
    <col min="3" max="3" width="12.7109375" style="1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5" t="s">
        <v>47</v>
      </c>
      <c r="I1" s="46" t="s">
        <v>48</v>
      </c>
      <c r="J1" s="47" t="s">
        <v>49</v>
      </c>
    </row>
    <row r="2" spans="1:16" x14ac:dyDescent="0.2">
      <c r="I2" s="48" t="s">
        <v>50</v>
      </c>
      <c r="J2" s="49" t="s">
        <v>51</v>
      </c>
    </row>
    <row r="3" spans="1:16" x14ac:dyDescent="0.2">
      <c r="A3" s="50" t="s">
        <v>52</v>
      </c>
      <c r="I3" s="48" t="s">
        <v>53</v>
      </c>
      <c r="J3" s="49" t="s">
        <v>54</v>
      </c>
    </row>
    <row r="4" spans="1:16" x14ac:dyDescent="0.2">
      <c r="I4" s="48" t="s">
        <v>55</v>
      </c>
      <c r="J4" s="49" t="s">
        <v>54</v>
      </c>
    </row>
    <row r="5" spans="1:16" ht="13.5" thickBot="1" x14ac:dyDescent="0.25">
      <c r="I5" s="51" t="s">
        <v>56</v>
      </c>
      <c r="J5" s="52" t="s">
        <v>57</v>
      </c>
    </row>
    <row r="10" spans="1:16" ht="13.5" thickBot="1" x14ac:dyDescent="0.25"/>
    <row r="11" spans="1:16" ht="12.75" customHeight="1" thickBot="1" x14ac:dyDescent="0.25">
      <c r="A11" s="11" t="str">
        <f t="shared" ref="A11:A27" si="0">P11</f>
        <v>IBVS 5341 </v>
      </c>
      <c r="B11" s="3" t="str">
        <f t="shared" ref="B11:B27" si="1">IF(H11=INT(H11),"I","II")</f>
        <v>II</v>
      </c>
      <c r="C11" s="11">
        <f t="shared" ref="C11:C27" si="2">1*G11</f>
        <v>52380.214500000002</v>
      </c>
      <c r="D11" s="17" t="str">
        <f t="shared" ref="D11:D27" si="3">VLOOKUP(F11,I$1:J$5,2,FALSE)</f>
        <v>vis</v>
      </c>
      <c r="E11" s="53">
        <f>VLOOKUP(C11,Active!C$21:E$973,3,FALSE)</f>
        <v>1756.3362689393973</v>
      </c>
      <c r="F11" s="3" t="s">
        <v>56</v>
      </c>
      <c r="G11" s="17" t="str">
        <f t="shared" ref="G11:G27" si="4">MID(I11,3,LEN(I11)-3)</f>
        <v>52380.2145</v>
      </c>
      <c r="H11" s="11">
        <f t="shared" ref="H11:H27" si="5">1*K11</f>
        <v>-113.5</v>
      </c>
      <c r="I11" s="54" t="s">
        <v>58</v>
      </c>
      <c r="J11" s="55" t="s">
        <v>59</v>
      </c>
      <c r="K11" s="54">
        <v>-113.5</v>
      </c>
      <c r="L11" s="54" t="s">
        <v>60</v>
      </c>
      <c r="M11" s="55" t="s">
        <v>61</v>
      </c>
      <c r="N11" s="55" t="s">
        <v>62</v>
      </c>
      <c r="O11" s="56" t="s">
        <v>63</v>
      </c>
      <c r="P11" s="57" t="s">
        <v>64</v>
      </c>
    </row>
    <row r="12" spans="1:16" ht="12.75" customHeight="1" thickBot="1" x14ac:dyDescent="0.25">
      <c r="A12" s="11" t="str">
        <f t="shared" si="0"/>
        <v>IBVS 5341 </v>
      </c>
      <c r="B12" s="3" t="str">
        <f t="shared" si="1"/>
        <v>I</v>
      </c>
      <c r="C12" s="11">
        <f t="shared" si="2"/>
        <v>52380.720200000003</v>
      </c>
      <c r="D12" s="17" t="str">
        <f t="shared" si="3"/>
        <v>vis</v>
      </c>
      <c r="E12" s="53">
        <f>VLOOKUP(C12,Active!C$21:E$973,3,FALSE)</f>
        <v>1756.8151515151562</v>
      </c>
      <c r="F12" s="3" t="s">
        <v>56</v>
      </c>
      <c r="G12" s="17" t="str">
        <f t="shared" si="4"/>
        <v>52380.7202</v>
      </c>
      <c r="H12" s="11">
        <f t="shared" si="5"/>
        <v>-113</v>
      </c>
      <c r="I12" s="54" t="s">
        <v>65</v>
      </c>
      <c r="J12" s="55" t="s">
        <v>66</v>
      </c>
      <c r="K12" s="54">
        <v>-113</v>
      </c>
      <c r="L12" s="54" t="s">
        <v>67</v>
      </c>
      <c r="M12" s="55" t="s">
        <v>61</v>
      </c>
      <c r="N12" s="55" t="s">
        <v>62</v>
      </c>
      <c r="O12" s="56" t="s">
        <v>63</v>
      </c>
      <c r="P12" s="57" t="s">
        <v>64</v>
      </c>
    </row>
    <row r="13" spans="1:16" ht="12.75" customHeight="1" thickBot="1" x14ac:dyDescent="0.25">
      <c r="A13" s="11" t="str">
        <f t="shared" si="0"/>
        <v>IBVS 5668 </v>
      </c>
      <c r="B13" s="3" t="str">
        <f t="shared" si="1"/>
        <v>I</v>
      </c>
      <c r="C13" s="11">
        <f t="shared" si="2"/>
        <v>53056.490700000002</v>
      </c>
      <c r="D13" s="17" t="str">
        <f t="shared" si="3"/>
        <v>vis</v>
      </c>
      <c r="E13" s="53">
        <f>VLOOKUP(C13,Active!C$21:E$973,3,FALSE)</f>
        <v>2396.7493371212158</v>
      </c>
      <c r="F13" s="3" t="s">
        <v>56</v>
      </c>
      <c r="G13" s="17" t="str">
        <f t="shared" si="4"/>
        <v>53056.4907</v>
      </c>
      <c r="H13" s="11">
        <f t="shared" si="5"/>
        <v>527</v>
      </c>
      <c r="I13" s="54" t="s">
        <v>68</v>
      </c>
      <c r="J13" s="55" t="s">
        <v>69</v>
      </c>
      <c r="K13" s="54">
        <v>527</v>
      </c>
      <c r="L13" s="54" t="s">
        <v>70</v>
      </c>
      <c r="M13" s="55" t="s">
        <v>61</v>
      </c>
      <c r="N13" s="55" t="s">
        <v>62</v>
      </c>
      <c r="O13" s="56" t="s">
        <v>63</v>
      </c>
      <c r="P13" s="57" t="s">
        <v>71</v>
      </c>
    </row>
    <row r="14" spans="1:16" ht="12.75" customHeight="1" thickBot="1" x14ac:dyDescent="0.25">
      <c r="A14" s="11" t="str">
        <f t="shared" si="0"/>
        <v>IBVS 5668 </v>
      </c>
      <c r="B14" s="3" t="str">
        <f t="shared" si="1"/>
        <v>I</v>
      </c>
      <c r="C14" s="11">
        <f t="shared" si="2"/>
        <v>53149.412100000001</v>
      </c>
      <c r="D14" s="17" t="str">
        <f t="shared" si="3"/>
        <v>vis</v>
      </c>
      <c r="E14" s="53">
        <f>VLOOKUP(C14,Active!C$21:E$973,3,FALSE)</f>
        <v>2484.743087121215</v>
      </c>
      <c r="F14" s="3" t="s">
        <v>56</v>
      </c>
      <c r="G14" s="17" t="str">
        <f t="shared" si="4"/>
        <v>53149.4121</v>
      </c>
      <c r="H14" s="11">
        <f t="shared" si="5"/>
        <v>615</v>
      </c>
      <c r="I14" s="54" t="s">
        <v>72</v>
      </c>
      <c r="J14" s="55" t="s">
        <v>73</v>
      </c>
      <c r="K14" s="54">
        <v>615</v>
      </c>
      <c r="L14" s="54" t="s">
        <v>74</v>
      </c>
      <c r="M14" s="55" t="s">
        <v>61</v>
      </c>
      <c r="N14" s="55" t="s">
        <v>62</v>
      </c>
      <c r="O14" s="56" t="s">
        <v>63</v>
      </c>
      <c r="P14" s="57" t="s">
        <v>71</v>
      </c>
    </row>
    <row r="15" spans="1:16" ht="12.75" customHeight="1" thickBot="1" x14ac:dyDescent="0.25">
      <c r="A15" s="11" t="str">
        <f t="shared" si="0"/>
        <v>IBVS 5668 </v>
      </c>
      <c r="B15" s="3" t="str">
        <f t="shared" si="1"/>
        <v>II</v>
      </c>
      <c r="C15" s="11">
        <f t="shared" si="2"/>
        <v>53388.588000000003</v>
      </c>
      <c r="D15" s="17" t="str">
        <f t="shared" si="3"/>
        <v>vis</v>
      </c>
      <c r="E15" s="53">
        <f>VLOOKUP(C15,Active!C$21:E$973,3,FALSE)</f>
        <v>2711.2354166666714</v>
      </c>
      <c r="F15" s="3" t="s">
        <v>56</v>
      </c>
      <c r="G15" s="17" t="str">
        <f t="shared" si="4"/>
        <v>53388.5880</v>
      </c>
      <c r="H15" s="11">
        <f t="shared" si="5"/>
        <v>841.5</v>
      </c>
      <c r="I15" s="54" t="s">
        <v>75</v>
      </c>
      <c r="J15" s="55" t="s">
        <v>76</v>
      </c>
      <c r="K15" s="54">
        <v>841.5</v>
      </c>
      <c r="L15" s="54" t="s">
        <v>77</v>
      </c>
      <c r="M15" s="55" t="s">
        <v>61</v>
      </c>
      <c r="N15" s="55" t="s">
        <v>62</v>
      </c>
      <c r="O15" s="56" t="s">
        <v>63</v>
      </c>
      <c r="P15" s="57" t="s">
        <v>71</v>
      </c>
    </row>
    <row r="16" spans="1:16" ht="12.75" customHeight="1" thickBot="1" x14ac:dyDescent="0.25">
      <c r="A16" s="11" t="str">
        <f t="shared" si="0"/>
        <v>IBVS 5668 </v>
      </c>
      <c r="B16" s="3" t="str">
        <f t="shared" si="1"/>
        <v>I</v>
      </c>
      <c r="C16" s="11">
        <f t="shared" si="2"/>
        <v>53433.437700000002</v>
      </c>
      <c r="D16" s="17" t="str">
        <f t="shared" si="3"/>
        <v>vis</v>
      </c>
      <c r="E16" s="53">
        <f>VLOOKUP(C16,Active!C$21:E$973,3,FALSE)</f>
        <v>2753.7067234848523</v>
      </c>
      <c r="F16" s="3" t="s">
        <v>56</v>
      </c>
      <c r="G16" s="17" t="str">
        <f t="shared" si="4"/>
        <v>53433.4377</v>
      </c>
      <c r="H16" s="11">
        <f t="shared" si="5"/>
        <v>884</v>
      </c>
      <c r="I16" s="54" t="s">
        <v>78</v>
      </c>
      <c r="J16" s="55" t="s">
        <v>79</v>
      </c>
      <c r="K16" s="54">
        <v>884</v>
      </c>
      <c r="L16" s="54" t="s">
        <v>80</v>
      </c>
      <c r="M16" s="55" t="s">
        <v>61</v>
      </c>
      <c r="N16" s="55" t="s">
        <v>62</v>
      </c>
      <c r="O16" s="56" t="s">
        <v>63</v>
      </c>
      <c r="P16" s="57" t="s">
        <v>71</v>
      </c>
    </row>
    <row r="17" spans="1:16" ht="12.75" customHeight="1" thickBot="1" x14ac:dyDescent="0.25">
      <c r="A17" s="11" t="str">
        <f t="shared" si="0"/>
        <v>BAVM 178 </v>
      </c>
      <c r="B17" s="3" t="str">
        <f t="shared" si="1"/>
        <v>I</v>
      </c>
      <c r="C17" s="11">
        <f t="shared" si="2"/>
        <v>53509.473100000003</v>
      </c>
      <c r="D17" s="17" t="str">
        <f t="shared" si="3"/>
        <v>vis</v>
      </c>
      <c r="E17" s="53">
        <f>VLOOKUP(C17,Active!C$21:E$973,3,FALSE)</f>
        <v>2825.7099431818224</v>
      </c>
      <c r="F17" s="3" t="s">
        <v>56</v>
      </c>
      <c r="G17" s="17" t="str">
        <f t="shared" si="4"/>
        <v>53509.4731</v>
      </c>
      <c r="H17" s="11">
        <f t="shared" si="5"/>
        <v>956</v>
      </c>
      <c r="I17" s="54" t="s">
        <v>81</v>
      </c>
      <c r="J17" s="55" t="s">
        <v>82</v>
      </c>
      <c r="K17" s="54">
        <v>956</v>
      </c>
      <c r="L17" s="54" t="s">
        <v>83</v>
      </c>
      <c r="M17" s="55" t="s">
        <v>84</v>
      </c>
      <c r="N17" s="55" t="s">
        <v>85</v>
      </c>
      <c r="O17" s="56" t="s">
        <v>86</v>
      </c>
      <c r="P17" s="57" t="s">
        <v>87</v>
      </c>
    </row>
    <row r="18" spans="1:16" ht="12.75" customHeight="1" thickBot="1" x14ac:dyDescent="0.25">
      <c r="A18" s="11" t="str">
        <f t="shared" si="0"/>
        <v>BAVM 178 </v>
      </c>
      <c r="B18" s="3" t="str">
        <f t="shared" si="1"/>
        <v>I</v>
      </c>
      <c r="C18" s="11">
        <f t="shared" si="2"/>
        <v>53814.600599999998</v>
      </c>
      <c r="D18" s="17" t="str">
        <f t="shared" si="3"/>
        <v>vis</v>
      </c>
      <c r="E18" s="53">
        <f>VLOOKUP(C18,Active!C$21:E$973,3,FALSE)</f>
        <v>3114.6564393939389</v>
      </c>
      <c r="F18" s="3" t="s">
        <v>56</v>
      </c>
      <c r="G18" s="17" t="str">
        <f t="shared" si="4"/>
        <v>53814.6006</v>
      </c>
      <c r="H18" s="11">
        <f t="shared" si="5"/>
        <v>1245</v>
      </c>
      <c r="I18" s="54" t="s">
        <v>88</v>
      </c>
      <c r="J18" s="55" t="s">
        <v>89</v>
      </c>
      <c r="K18" s="54">
        <v>1245</v>
      </c>
      <c r="L18" s="54" t="s">
        <v>90</v>
      </c>
      <c r="M18" s="55" t="s">
        <v>84</v>
      </c>
      <c r="N18" s="55" t="s">
        <v>85</v>
      </c>
      <c r="O18" s="56" t="s">
        <v>91</v>
      </c>
      <c r="P18" s="57" t="s">
        <v>87</v>
      </c>
    </row>
    <row r="19" spans="1:16" ht="12.75" customHeight="1" thickBot="1" x14ac:dyDescent="0.25">
      <c r="A19" s="11" t="str">
        <f t="shared" si="0"/>
        <v>IBVS 5887 </v>
      </c>
      <c r="B19" s="3" t="str">
        <f t="shared" si="1"/>
        <v>I</v>
      </c>
      <c r="C19" s="11">
        <f t="shared" si="2"/>
        <v>54227.473299999998</v>
      </c>
      <c r="D19" s="17" t="str">
        <f t="shared" si="3"/>
        <v>vis</v>
      </c>
      <c r="E19" s="53">
        <f>VLOOKUP(C19,Active!C$21:E$973,3,FALSE)</f>
        <v>3505.6343749999996</v>
      </c>
      <c r="F19" s="3" t="s">
        <v>56</v>
      </c>
      <c r="G19" s="17" t="str">
        <f t="shared" si="4"/>
        <v>54227.4733</v>
      </c>
      <c r="H19" s="11">
        <f t="shared" si="5"/>
        <v>1636</v>
      </c>
      <c r="I19" s="54" t="s">
        <v>97</v>
      </c>
      <c r="J19" s="55" t="s">
        <v>98</v>
      </c>
      <c r="K19" s="54">
        <v>1636</v>
      </c>
      <c r="L19" s="54" t="s">
        <v>99</v>
      </c>
      <c r="M19" s="55" t="s">
        <v>84</v>
      </c>
      <c r="N19" s="55" t="s">
        <v>100</v>
      </c>
      <c r="O19" s="56" t="s">
        <v>101</v>
      </c>
      <c r="P19" s="57" t="s">
        <v>102</v>
      </c>
    </row>
    <row r="20" spans="1:16" ht="12.75" customHeight="1" thickBot="1" x14ac:dyDescent="0.25">
      <c r="A20" s="11" t="str">
        <f t="shared" si="0"/>
        <v>IBVS 5887 </v>
      </c>
      <c r="B20" s="3" t="str">
        <f t="shared" si="1"/>
        <v>II</v>
      </c>
      <c r="C20" s="11">
        <f t="shared" si="2"/>
        <v>54235.413800000002</v>
      </c>
      <c r="D20" s="17" t="str">
        <f t="shared" si="3"/>
        <v>vis</v>
      </c>
      <c r="E20" s="53">
        <f>VLOOKUP(C20,Active!C$21:E$973,3,FALSE)</f>
        <v>3513.1537878787913</v>
      </c>
      <c r="F20" s="3" t="s">
        <v>56</v>
      </c>
      <c r="G20" s="17" t="str">
        <f t="shared" si="4"/>
        <v>54235.4138</v>
      </c>
      <c r="H20" s="11">
        <f t="shared" si="5"/>
        <v>1643.5</v>
      </c>
      <c r="I20" s="54" t="s">
        <v>103</v>
      </c>
      <c r="J20" s="55" t="s">
        <v>104</v>
      </c>
      <c r="K20" s="54">
        <v>1643.5</v>
      </c>
      <c r="L20" s="54" t="s">
        <v>105</v>
      </c>
      <c r="M20" s="55" t="s">
        <v>84</v>
      </c>
      <c r="N20" s="55" t="s">
        <v>100</v>
      </c>
      <c r="O20" s="56" t="s">
        <v>106</v>
      </c>
      <c r="P20" s="57" t="s">
        <v>102</v>
      </c>
    </row>
    <row r="21" spans="1:16" ht="12.75" customHeight="1" thickBot="1" x14ac:dyDescent="0.25">
      <c r="A21" s="11" t="str">
        <f t="shared" si="0"/>
        <v>BAVM 214 </v>
      </c>
      <c r="B21" s="3" t="str">
        <f t="shared" si="1"/>
        <v>I</v>
      </c>
      <c r="C21" s="11">
        <f t="shared" si="2"/>
        <v>55341.425999999999</v>
      </c>
      <c r="D21" s="17" t="str">
        <f t="shared" si="3"/>
        <v>vis</v>
      </c>
      <c r="E21" s="53">
        <f>VLOOKUP(C21,Active!C$21:E$973,3,FALSE)</f>
        <v>4560.5138257575763</v>
      </c>
      <c r="F21" s="3" t="s">
        <v>56</v>
      </c>
      <c r="G21" s="17" t="str">
        <f t="shared" si="4"/>
        <v>55341.4260</v>
      </c>
      <c r="H21" s="11">
        <f t="shared" si="5"/>
        <v>2691</v>
      </c>
      <c r="I21" s="54" t="s">
        <v>107</v>
      </c>
      <c r="J21" s="55" t="s">
        <v>108</v>
      </c>
      <c r="K21" s="54">
        <v>2691</v>
      </c>
      <c r="L21" s="54" t="s">
        <v>109</v>
      </c>
      <c r="M21" s="55" t="s">
        <v>84</v>
      </c>
      <c r="N21" s="55" t="s">
        <v>85</v>
      </c>
      <c r="O21" s="56" t="s">
        <v>86</v>
      </c>
      <c r="P21" s="57" t="s">
        <v>110</v>
      </c>
    </row>
    <row r="22" spans="1:16" ht="12.75" customHeight="1" thickBot="1" x14ac:dyDescent="0.25">
      <c r="A22" s="11" t="str">
        <f t="shared" si="0"/>
        <v>BAVM 220 </v>
      </c>
      <c r="B22" s="3" t="str">
        <f t="shared" si="1"/>
        <v>I</v>
      </c>
      <c r="C22" s="11">
        <f t="shared" si="2"/>
        <v>55682.488599999997</v>
      </c>
      <c r="D22" s="17" t="str">
        <f t="shared" si="3"/>
        <v>vis</v>
      </c>
      <c r="E22" s="53">
        <f>VLOOKUP(C22,Active!C$21:E$973,3,FALSE)</f>
        <v>4883.489772727271</v>
      </c>
      <c r="F22" s="3" t="s">
        <v>56</v>
      </c>
      <c r="G22" s="17" t="str">
        <f t="shared" si="4"/>
        <v>55682.4886</v>
      </c>
      <c r="H22" s="11">
        <f t="shared" si="5"/>
        <v>3014</v>
      </c>
      <c r="I22" s="54" t="s">
        <v>111</v>
      </c>
      <c r="J22" s="55" t="s">
        <v>112</v>
      </c>
      <c r="K22" s="54">
        <v>3014</v>
      </c>
      <c r="L22" s="54" t="s">
        <v>113</v>
      </c>
      <c r="M22" s="55" t="s">
        <v>84</v>
      </c>
      <c r="N22" s="55" t="s">
        <v>114</v>
      </c>
      <c r="O22" s="56" t="s">
        <v>115</v>
      </c>
      <c r="P22" s="57" t="s">
        <v>116</v>
      </c>
    </row>
    <row r="23" spans="1:16" ht="12.75" customHeight="1" thickBot="1" x14ac:dyDescent="0.25">
      <c r="A23" s="11" t="str">
        <f t="shared" si="0"/>
        <v>BAVM 232 </v>
      </c>
      <c r="B23" s="3" t="str">
        <f t="shared" si="1"/>
        <v>I</v>
      </c>
      <c r="C23" s="11">
        <f t="shared" si="2"/>
        <v>56418.445800000001</v>
      </c>
      <c r="D23" s="17" t="str">
        <f t="shared" si="3"/>
        <v>vis</v>
      </c>
      <c r="E23" s="53">
        <f>VLOOKUP(C23,Active!C$21:E$973,3,FALSE)</f>
        <v>5580.4189393939423</v>
      </c>
      <c r="F23" s="3" t="s">
        <v>56</v>
      </c>
      <c r="G23" s="17" t="str">
        <f t="shared" si="4"/>
        <v>56418.4458</v>
      </c>
      <c r="H23" s="11">
        <f t="shared" si="5"/>
        <v>3711</v>
      </c>
      <c r="I23" s="54" t="s">
        <v>117</v>
      </c>
      <c r="J23" s="55" t="s">
        <v>118</v>
      </c>
      <c r="K23" s="54" t="s">
        <v>119</v>
      </c>
      <c r="L23" s="54" t="s">
        <v>120</v>
      </c>
      <c r="M23" s="55" t="s">
        <v>84</v>
      </c>
      <c r="N23" s="55" t="s">
        <v>114</v>
      </c>
      <c r="O23" s="56" t="s">
        <v>115</v>
      </c>
      <c r="P23" s="57" t="s">
        <v>121</v>
      </c>
    </row>
    <row r="24" spans="1:16" ht="12.75" customHeight="1" thickBot="1" x14ac:dyDescent="0.25">
      <c r="A24" s="11" t="str">
        <f t="shared" si="0"/>
        <v>BAVM 238 </v>
      </c>
      <c r="B24" s="3" t="str">
        <f t="shared" si="1"/>
        <v>II</v>
      </c>
      <c r="C24" s="11">
        <f t="shared" si="2"/>
        <v>56730.475299999998</v>
      </c>
      <c r="D24" s="17" t="str">
        <f t="shared" si="3"/>
        <v>vis</v>
      </c>
      <c r="E24" s="53">
        <f>VLOOKUP(C24,Active!C$21:E$973,3,FALSE)</f>
        <v>5875.9014204545456</v>
      </c>
      <c r="F24" s="3" t="s">
        <v>56</v>
      </c>
      <c r="G24" s="17" t="str">
        <f t="shared" si="4"/>
        <v>56730.4753</v>
      </c>
      <c r="H24" s="11">
        <f t="shared" si="5"/>
        <v>4006.5</v>
      </c>
      <c r="I24" s="54" t="s">
        <v>122</v>
      </c>
      <c r="J24" s="55" t="s">
        <v>123</v>
      </c>
      <c r="K24" s="54" t="s">
        <v>124</v>
      </c>
      <c r="L24" s="54" t="s">
        <v>125</v>
      </c>
      <c r="M24" s="55" t="s">
        <v>84</v>
      </c>
      <c r="N24" s="55" t="s">
        <v>114</v>
      </c>
      <c r="O24" s="56" t="s">
        <v>115</v>
      </c>
      <c r="P24" s="57" t="s">
        <v>126</v>
      </c>
    </row>
    <row r="25" spans="1:16" ht="12.75" customHeight="1" thickBot="1" x14ac:dyDescent="0.25">
      <c r="A25" s="11" t="str">
        <f t="shared" si="0"/>
        <v>BAVM 238 </v>
      </c>
      <c r="B25" s="3" t="str">
        <f t="shared" si="1"/>
        <v>II</v>
      </c>
      <c r="C25" s="11">
        <f t="shared" si="2"/>
        <v>56747.375200000002</v>
      </c>
      <c r="D25" s="17" t="str">
        <f t="shared" si="3"/>
        <v>vis</v>
      </c>
      <c r="E25" s="53">
        <f>VLOOKUP(C25,Active!C$21:E$973,3,FALSE)</f>
        <v>5891.9051136363669</v>
      </c>
      <c r="F25" s="3" t="s">
        <v>56</v>
      </c>
      <c r="G25" s="17" t="str">
        <f t="shared" si="4"/>
        <v>56747.3752</v>
      </c>
      <c r="H25" s="11">
        <f t="shared" si="5"/>
        <v>4022.5</v>
      </c>
      <c r="I25" s="54" t="s">
        <v>127</v>
      </c>
      <c r="J25" s="55" t="s">
        <v>128</v>
      </c>
      <c r="K25" s="54" t="s">
        <v>129</v>
      </c>
      <c r="L25" s="54" t="s">
        <v>130</v>
      </c>
      <c r="M25" s="55" t="s">
        <v>84</v>
      </c>
      <c r="N25" s="55" t="s">
        <v>114</v>
      </c>
      <c r="O25" s="56" t="s">
        <v>115</v>
      </c>
      <c r="P25" s="57" t="s">
        <v>126</v>
      </c>
    </row>
    <row r="26" spans="1:16" ht="12.75" customHeight="1" thickBot="1" x14ac:dyDescent="0.25">
      <c r="A26" s="11" t="str">
        <f t="shared" si="0"/>
        <v>VSB 46 </v>
      </c>
      <c r="B26" s="3" t="str">
        <f t="shared" si="1"/>
        <v>II</v>
      </c>
      <c r="C26" s="11">
        <f t="shared" si="2"/>
        <v>54138.2713</v>
      </c>
      <c r="D26" s="17" t="str">
        <f t="shared" si="3"/>
        <v>vis</v>
      </c>
      <c r="E26" s="53">
        <f>VLOOKUP(C26,Active!C$21:E$973,3,FALSE)</f>
        <v>3421.1627840909109</v>
      </c>
      <c r="F26" s="3" t="s">
        <v>56</v>
      </c>
      <c r="G26" s="17" t="str">
        <f t="shared" si="4"/>
        <v>54138.2713</v>
      </c>
      <c r="H26" s="11">
        <f t="shared" si="5"/>
        <v>1551.5</v>
      </c>
      <c r="I26" s="54" t="s">
        <v>92</v>
      </c>
      <c r="J26" s="55" t="s">
        <v>93</v>
      </c>
      <c r="K26" s="54">
        <v>1551.5</v>
      </c>
      <c r="L26" s="54" t="s">
        <v>94</v>
      </c>
      <c r="M26" s="55" t="s">
        <v>84</v>
      </c>
      <c r="N26" s="55" t="s">
        <v>56</v>
      </c>
      <c r="O26" s="56" t="s">
        <v>95</v>
      </c>
      <c r="P26" s="57" t="s">
        <v>96</v>
      </c>
    </row>
    <row r="27" spans="1:16" ht="12.75" customHeight="1" thickBot="1" x14ac:dyDescent="0.25">
      <c r="A27" s="11" t="str">
        <f t="shared" si="0"/>
        <v>BAVM 241 (=IBVS 6157) </v>
      </c>
      <c r="B27" s="3" t="str">
        <f t="shared" si="1"/>
        <v>I</v>
      </c>
      <c r="C27" s="11">
        <f t="shared" si="2"/>
        <v>57100.546600000001</v>
      </c>
      <c r="D27" s="17" t="str">
        <f t="shared" si="3"/>
        <v>vis</v>
      </c>
      <c r="E27" s="53">
        <f>VLOOKUP(C27,Active!C$21:E$973,3,FALSE)</f>
        <v>6226.3477272727305</v>
      </c>
      <c r="F27" s="3" t="s">
        <v>56</v>
      </c>
      <c r="G27" s="17" t="str">
        <f t="shared" si="4"/>
        <v>57100.5466</v>
      </c>
      <c r="H27" s="11">
        <f t="shared" si="5"/>
        <v>4357</v>
      </c>
      <c r="I27" s="54" t="s">
        <v>131</v>
      </c>
      <c r="J27" s="55" t="s">
        <v>132</v>
      </c>
      <c r="K27" s="54" t="s">
        <v>133</v>
      </c>
      <c r="L27" s="54" t="s">
        <v>134</v>
      </c>
      <c r="M27" s="55" t="s">
        <v>84</v>
      </c>
      <c r="N27" s="55" t="s">
        <v>114</v>
      </c>
      <c r="O27" s="56" t="s">
        <v>115</v>
      </c>
      <c r="P27" s="57" t="s">
        <v>135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</sheetData>
  <phoneticPr fontId="8" type="noConversion"/>
  <hyperlinks>
    <hyperlink ref="A3" r:id="rId1" xr:uid="{00000000-0004-0000-0100-000000000000}"/>
    <hyperlink ref="P11" r:id="rId2" display="http://www.konkoly.hu/cgi-bin/IBVS?5341" xr:uid="{00000000-0004-0000-0100-000001000000}"/>
    <hyperlink ref="P12" r:id="rId3" display="http://www.konkoly.hu/cgi-bin/IBVS?5341" xr:uid="{00000000-0004-0000-0100-000002000000}"/>
    <hyperlink ref="P13" r:id="rId4" display="http://www.konkoly.hu/cgi-bin/IBVS?5668" xr:uid="{00000000-0004-0000-0100-000003000000}"/>
    <hyperlink ref="P14" r:id="rId5" display="http://www.konkoly.hu/cgi-bin/IBVS?5668" xr:uid="{00000000-0004-0000-0100-000004000000}"/>
    <hyperlink ref="P15" r:id="rId6" display="http://www.konkoly.hu/cgi-bin/IBVS?5668" xr:uid="{00000000-0004-0000-0100-000005000000}"/>
    <hyperlink ref="P16" r:id="rId7" display="http://www.konkoly.hu/cgi-bin/IBVS?5668" xr:uid="{00000000-0004-0000-0100-000006000000}"/>
    <hyperlink ref="P17" r:id="rId8" display="http://www.bav-astro.de/sfs/BAVM_link.php?BAVMnr=178" xr:uid="{00000000-0004-0000-0100-000007000000}"/>
    <hyperlink ref="P18" r:id="rId9" display="http://www.bav-astro.de/sfs/BAVM_link.php?BAVMnr=178" xr:uid="{00000000-0004-0000-0100-000008000000}"/>
    <hyperlink ref="P26" r:id="rId10" display="http://vsolj.cetus-net.org/no46.pdf" xr:uid="{00000000-0004-0000-0100-000009000000}"/>
    <hyperlink ref="P19" r:id="rId11" display="http://www.konkoly.hu/cgi-bin/IBVS?5887" xr:uid="{00000000-0004-0000-0100-00000A000000}"/>
    <hyperlink ref="P20" r:id="rId12" display="http://www.konkoly.hu/cgi-bin/IBVS?5887" xr:uid="{00000000-0004-0000-0100-00000B000000}"/>
    <hyperlink ref="P21" r:id="rId13" display="http://www.bav-astro.de/sfs/BAVM_link.php?BAVMnr=214" xr:uid="{00000000-0004-0000-0100-00000C000000}"/>
    <hyperlink ref="P22" r:id="rId14" display="http://www.bav-astro.de/sfs/BAVM_link.php?BAVMnr=220" xr:uid="{00000000-0004-0000-0100-00000D000000}"/>
    <hyperlink ref="P23" r:id="rId15" display="http://www.bav-astro.de/sfs/BAVM_link.php?BAVMnr=232" xr:uid="{00000000-0004-0000-0100-00000E000000}"/>
    <hyperlink ref="P24" r:id="rId16" display="http://www.bav-astro.de/sfs/BAVM_link.php?BAVMnr=238" xr:uid="{00000000-0004-0000-0100-00000F000000}"/>
    <hyperlink ref="P25" r:id="rId17" display="http://www.bav-astro.de/sfs/BAVM_link.php?BAVMnr=238" xr:uid="{00000000-0004-0000-0100-000010000000}"/>
    <hyperlink ref="P27" r:id="rId18" display="http://www.bav-astro.de/sfs/BAVM_link.php?BAVMnr=241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2023-01-26T05:40:16Z</dcterms:modified>
</cp:coreProperties>
</file>