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BD92055-9CB3-4C8C-BD83-94F04D3CEF26}" xr6:coauthVersionLast="47" xr6:coauthVersionMax="47" xr10:uidLastSave="{00000000-0000-0000-0000-000000000000}"/>
  <bookViews>
    <workbookView xWindow="14535" yWindow="105" windowWidth="13995" windowHeight="1443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0" i="1" l="1"/>
  <c r="F80" i="1" s="1"/>
  <c r="Q80" i="1"/>
  <c r="E79" i="1"/>
  <c r="F79" i="1" s="1"/>
  <c r="Q79" i="1"/>
  <c r="Q76" i="1"/>
  <c r="Q77" i="1"/>
  <c r="Q78" i="1"/>
  <c r="D11" i="1"/>
  <c r="D12" i="1"/>
  <c r="W15" i="1" s="1"/>
  <c r="W20" i="1"/>
  <c r="Q71" i="1"/>
  <c r="Q75" i="1"/>
  <c r="Q68" i="1"/>
  <c r="Q72" i="1"/>
  <c r="D13" i="1"/>
  <c r="D9" i="1"/>
  <c r="C9" i="1"/>
  <c r="Q74" i="1"/>
  <c r="Q67" i="1"/>
  <c r="Q69" i="1"/>
  <c r="Q70" i="1"/>
  <c r="Q73" i="1"/>
  <c r="Q21" i="1"/>
  <c r="Q22" i="1"/>
  <c r="Q23" i="1"/>
  <c r="Q24" i="1"/>
  <c r="Q25" i="1"/>
  <c r="Q26" i="1"/>
  <c r="Q27" i="1"/>
  <c r="Q28" i="1"/>
  <c r="Q34" i="1"/>
  <c r="Q42" i="1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52" i="2"/>
  <c r="C5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51" i="2"/>
  <c r="C51" i="2"/>
  <c r="G14" i="2"/>
  <c r="C14" i="2"/>
  <c r="G13" i="2"/>
  <c r="C13" i="2"/>
  <c r="G12" i="2"/>
  <c r="C12" i="2"/>
  <c r="G11" i="2"/>
  <c r="C1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52" i="2"/>
  <c r="B52" i="2"/>
  <c r="D52" i="2"/>
  <c r="A5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51" i="2"/>
  <c r="B51" i="2"/>
  <c r="D51" i="2"/>
  <c r="A51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Q64" i="1"/>
  <c r="Q66" i="1"/>
  <c r="Q65" i="1"/>
  <c r="Q59" i="1"/>
  <c r="Q60" i="1"/>
  <c r="Q61" i="1"/>
  <c r="Q62" i="1"/>
  <c r="Q51" i="1"/>
  <c r="Q53" i="1"/>
  <c r="Q56" i="1"/>
  <c r="Q58" i="1"/>
  <c r="Q63" i="1"/>
  <c r="Q44" i="1"/>
  <c r="Q46" i="1"/>
  <c r="Q48" i="1"/>
  <c r="Q49" i="1"/>
  <c r="Q52" i="1"/>
  <c r="Q54" i="1"/>
  <c r="Q55" i="1"/>
  <c r="Q57" i="1"/>
  <c r="Q50" i="1"/>
  <c r="F16" i="1"/>
  <c r="F17" i="1" s="1"/>
  <c r="Q47" i="1"/>
  <c r="Q45" i="1"/>
  <c r="Q41" i="1"/>
  <c r="Q40" i="1"/>
  <c r="Q43" i="1"/>
  <c r="C17" i="1"/>
  <c r="Q33" i="1"/>
  <c r="Q37" i="1"/>
  <c r="Q38" i="1"/>
  <c r="Q39" i="1"/>
  <c r="Q35" i="1"/>
  <c r="Q36" i="1"/>
  <c r="Q32" i="1"/>
  <c r="C7" i="1"/>
  <c r="E78" i="1"/>
  <c r="F78" i="1"/>
  <c r="C8" i="1"/>
  <c r="E51" i="1"/>
  <c r="F51" i="1"/>
  <c r="Q30" i="1"/>
  <c r="Q31" i="1"/>
  <c r="Q29" i="1"/>
  <c r="E26" i="1"/>
  <c r="F26" i="1"/>
  <c r="E31" i="1"/>
  <c r="F31" i="1"/>
  <c r="P31" i="1"/>
  <c r="R31" i="1" s="1"/>
  <c r="T31" i="1" s="1"/>
  <c r="E25" i="1"/>
  <c r="F25" i="1"/>
  <c r="E38" i="1"/>
  <c r="F38" i="1"/>
  <c r="E28" i="1"/>
  <c r="G26" i="1"/>
  <c r="K26" i="1"/>
  <c r="E30" i="1"/>
  <c r="F30" i="1"/>
  <c r="E23" i="1"/>
  <c r="F23" i="1"/>
  <c r="G23" i="1"/>
  <c r="K23" i="1"/>
  <c r="E45" i="1"/>
  <c r="F45" i="1"/>
  <c r="E59" i="1"/>
  <c r="F59" i="1"/>
  <c r="E38" i="2"/>
  <c r="G30" i="1"/>
  <c r="K30" i="1"/>
  <c r="E11" i="2"/>
  <c r="E12" i="2"/>
  <c r="G45" i="1"/>
  <c r="K45" i="1"/>
  <c r="E18" i="2"/>
  <c r="E24" i="2"/>
  <c r="E30" i="2"/>
  <c r="E47" i="2"/>
  <c r="F28" i="1"/>
  <c r="E50" i="2"/>
  <c r="E48" i="2"/>
  <c r="G59" i="1"/>
  <c r="J59" i="1"/>
  <c r="E51" i="2"/>
  <c r="E45" i="2"/>
  <c r="E73" i="1"/>
  <c r="F73" i="1"/>
  <c r="E64" i="1"/>
  <c r="F64" i="1"/>
  <c r="P64" i="1"/>
  <c r="E41" i="1"/>
  <c r="E58" i="1"/>
  <c r="F58" i="1"/>
  <c r="G72" i="1"/>
  <c r="K72" i="1"/>
  <c r="E69" i="1"/>
  <c r="F69" i="1"/>
  <c r="P69" i="1"/>
  <c r="R69" i="1" s="1"/>
  <c r="T69" i="1" s="1"/>
  <c r="E49" i="1"/>
  <c r="G38" i="1"/>
  <c r="J38" i="1"/>
  <c r="G25" i="1"/>
  <c r="K25" i="1"/>
  <c r="E24" i="1"/>
  <c r="E53" i="1"/>
  <c r="E57" i="1"/>
  <c r="E44" i="1"/>
  <c r="F44" i="1"/>
  <c r="G51" i="1"/>
  <c r="K51" i="1"/>
  <c r="E35" i="1"/>
  <c r="F35" i="1"/>
  <c r="P35" i="1"/>
  <c r="R35" i="1" s="1"/>
  <c r="T35" i="1" s="1"/>
  <c r="E21" i="1"/>
  <c r="W21" i="1"/>
  <c r="E66" i="1"/>
  <c r="F66" i="1"/>
  <c r="E71" i="1"/>
  <c r="F71" i="1"/>
  <c r="G71" i="1"/>
  <c r="K71" i="1"/>
  <c r="E77" i="1"/>
  <c r="F77" i="1"/>
  <c r="G77" i="1"/>
  <c r="K77" i="1"/>
  <c r="E52" i="1"/>
  <c r="E47" i="1"/>
  <c r="F47" i="1"/>
  <c r="E27" i="1"/>
  <c r="F27" i="1"/>
  <c r="E62" i="1"/>
  <c r="F62" i="1"/>
  <c r="E36" i="1"/>
  <c r="F36" i="1"/>
  <c r="E42" i="1"/>
  <c r="F42" i="1"/>
  <c r="P42" i="1"/>
  <c r="R42" i="1" s="1"/>
  <c r="T42" i="1" s="1"/>
  <c r="E72" i="1"/>
  <c r="F72" i="1"/>
  <c r="E63" i="1"/>
  <c r="F63" i="1"/>
  <c r="W11" i="1"/>
  <c r="E68" i="1"/>
  <c r="F68" i="1"/>
  <c r="G76" i="1"/>
  <c r="K76" i="1"/>
  <c r="E33" i="1"/>
  <c r="E60" i="1"/>
  <c r="E29" i="1"/>
  <c r="F29" i="1"/>
  <c r="E61" i="1"/>
  <c r="E37" i="1"/>
  <c r="E39" i="1"/>
  <c r="F39" i="1"/>
  <c r="E46" i="1"/>
  <c r="E22" i="1"/>
  <c r="F22" i="1"/>
  <c r="W12" i="1"/>
  <c r="E74" i="1"/>
  <c r="F74" i="1"/>
  <c r="E65" i="1"/>
  <c r="F65" i="1"/>
  <c r="E54" i="1"/>
  <c r="E43" i="1"/>
  <c r="F43" i="1"/>
  <c r="E55" i="1"/>
  <c r="F55" i="1"/>
  <c r="E40" i="1"/>
  <c r="F40" i="1"/>
  <c r="E48" i="1"/>
  <c r="E50" i="1"/>
  <c r="F50" i="1"/>
  <c r="G73" i="1"/>
  <c r="K73" i="1"/>
  <c r="E70" i="1"/>
  <c r="F70" i="1"/>
  <c r="E75" i="1"/>
  <c r="F75" i="1"/>
  <c r="G75" i="1"/>
  <c r="K75" i="1"/>
  <c r="G78" i="1"/>
  <c r="K78" i="1"/>
  <c r="E76" i="1"/>
  <c r="F76" i="1"/>
  <c r="P76" i="1"/>
  <c r="R76" i="1"/>
  <c r="T76" i="1" s="1"/>
  <c r="E56" i="1"/>
  <c r="F56" i="1"/>
  <c r="G62" i="1"/>
  <c r="J62" i="1"/>
  <c r="E34" i="1"/>
  <c r="F34" i="1"/>
  <c r="G58" i="1"/>
  <c r="K58" i="1"/>
  <c r="E32" i="1"/>
  <c r="F32" i="1"/>
  <c r="G69" i="1"/>
  <c r="K69" i="1"/>
  <c r="E67" i="1"/>
  <c r="F67" i="1"/>
  <c r="P67" i="1"/>
  <c r="R67" i="1" s="1"/>
  <c r="T67" i="1" s="1"/>
  <c r="G40" i="1"/>
  <c r="J40" i="1"/>
  <c r="G67" i="1"/>
  <c r="K67" i="1"/>
  <c r="G29" i="1"/>
  <c r="I29" i="1"/>
  <c r="G70" i="1"/>
  <c r="K70" i="1"/>
  <c r="G36" i="1"/>
  <c r="K36" i="1"/>
  <c r="E36" i="2"/>
  <c r="F57" i="1"/>
  <c r="G66" i="1"/>
  <c r="K66" i="1"/>
  <c r="E49" i="2"/>
  <c r="E13" i="2"/>
  <c r="E16" i="2"/>
  <c r="F48" i="1"/>
  <c r="E27" i="2"/>
  <c r="P44" i="1"/>
  <c r="R44" i="1" s="1"/>
  <c r="T44" i="1" s="1"/>
  <c r="G44" i="1"/>
  <c r="J44" i="1"/>
  <c r="G32" i="1"/>
  <c r="K32" i="1"/>
  <c r="P32" i="1"/>
  <c r="R32" i="1" s="1"/>
  <c r="T32" i="1" s="1"/>
  <c r="E39" i="2"/>
  <c r="F60" i="1"/>
  <c r="G68" i="1"/>
  <c r="K68" i="1"/>
  <c r="F53" i="1"/>
  <c r="E32" i="2"/>
  <c r="G43" i="1"/>
  <c r="K43" i="1"/>
  <c r="E37" i="2"/>
  <c r="E41" i="2"/>
  <c r="G55" i="1"/>
  <c r="J55" i="1"/>
  <c r="G64" i="1"/>
  <c r="K64" i="1"/>
  <c r="G28" i="1"/>
  <c r="K28" i="1"/>
  <c r="E14" i="2"/>
  <c r="F33" i="1"/>
  <c r="P27" i="1"/>
  <c r="R27" i="1" s="1"/>
  <c r="T27" i="1" s="1"/>
  <c r="G27" i="1"/>
  <c r="K27" i="1"/>
  <c r="E15" i="2"/>
  <c r="E19" i="2"/>
  <c r="E35" i="2"/>
  <c r="P47" i="1"/>
  <c r="R47" i="1" s="1"/>
  <c r="T47" i="1" s="1"/>
  <c r="G47" i="1"/>
  <c r="K47" i="1"/>
  <c r="G42" i="1"/>
  <c r="K42" i="1"/>
  <c r="E20" i="2"/>
  <c r="E42" i="2"/>
  <c r="E22" i="2"/>
  <c r="R64" i="1"/>
  <c r="T64" i="1" s="1"/>
  <c r="G34" i="1"/>
  <c r="I34" i="1"/>
  <c r="F46" i="1"/>
  <c r="E25" i="2"/>
  <c r="F52" i="1"/>
  <c r="E31" i="2"/>
  <c r="F21" i="1"/>
  <c r="E43" i="2"/>
  <c r="F24" i="1"/>
  <c r="E46" i="2"/>
  <c r="E28" i="2"/>
  <c r="F49" i="1"/>
  <c r="E21" i="2"/>
  <c r="F41" i="1"/>
  <c r="E29" i="2"/>
  <c r="E34" i="2"/>
  <c r="G22" i="1"/>
  <c r="K22" i="1"/>
  <c r="G74" i="1"/>
  <c r="K74" i="1"/>
  <c r="G35" i="1"/>
  <c r="K35" i="1"/>
  <c r="G63" i="1"/>
  <c r="E23" i="2"/>
  <c r="E44" i="2"/>
  <c r="E40" i="2"/>
  <c r="F61" i="1"/>
  <c r="G65" i="1"/>
  <c r="K65" i="1"/>
  <c r="G56" i="1"/>
  <c r="K56" i="1"/>
  <c r="P39" i="1"/>
  <c r="R39" i="1" s="1"/>
  <c r="T39" i="1" s="1"/>
  <c r="G39" i="1"/>
  <c r="J39" i="1"/>
  <c r="G50" i="1"/>
  <c r="K50" i="1"/>
  <c r="F54" i="1"/>
  <c r="E33" i="2"/>
  <c r="E17" i="2"/>
  <c r="F37" i="1"/>
  <c r="E26" i="2"/>
  <c r="E52" i="2"/>
  <c r="P49" i="1"/>
  <c r="R49" i="1" s="1"/>
  <c r="T49" i="1" s="1"/>
  <c r="G49" i="1"/>
  <c r="J49" i="1"/>
  <c r="P46" i="1"/>
  <c r="R46" i="1" s="1"/>
  <c r="T46" i="1" s="1"/>
  <c r="G46" i="1"/>
  <c r="J46" i="1"/>
  <c r="K63" i="1"/>
  <c r="G24" i="1"/>
  <c r="K24" i="1"/>
  <c r="P53" i="1"/>
  <c r="R53" i="1" s="1"/>
  <c r="T53" i="1" s="1"/>
  <c r="G53" i="1"/>
  <c r="K53" i="1"/>
  <c r="P37" i="1"/>
  <c r="R37" i="1" s="1"/>
  <c r="T37" i="1" s="1"/>
  <c r="G37" i="1"/>
  <c r="J37" i="1"/>
  <c r="P54" i="1"/>
  <c r="R54" i="1" s="1"/>
  <c r="T54" i="1" s="1"/>
  <c r="G54" i="1"/>
  <c r="J54" i="1"/>
  <c r="G57" i="1"/>
  <c r="K57" i="1"/>
  <c r="P57" i="1"/>
  <c r="R57" i="1" s="1"/>
  <c r="T57" i="1" s="1"/>
  <c r="P61" i="1"/>
  <c r="R61" i="1" s="1"/>
  <c r="T61" i="1" s="1"/>
  <c r="G61" i="1"/>
  <c r="J61" i="1"/>
  <c r="P21" i="1"/>
  <c r="R21" i="1" s="1"/>
  <c r="T21" i="1" s="1"/>
  <c r="G21" i="1"/>
  <c r="K21" i="1"/>
  <c r="G60" i="1"/>
  <c r="J60" i="1"/>
  <c r="P60" i="1"/>
  <c r="R60" i="1" s="1"/>
  <c r="T60" i="1" s="1"/>
  <c r="G48" i="1"/>
  <c r="J48" i="1"/>
  <c r="P33" i="1"/>
  <c r="R33" i="1" s="1"/>
  <c r="T33" i="1" s="1"/>
  <c r="G33" i="1"/>
  <c r="J33" i="1"/>
  <c r="P41" i="1"/>
  <c r="R41" i="1" s="1"/>
  <c r="T41" i="1" s="1"/>
  <c r="G41" i="1"/>
  <c r="J41" i="1"/>
  <c r="P52" i="1"/>
  <c r="R52" i="1" s="1"/>
  <c r="T52" i="1" s="1"/>
  <c r="G52" i="1"/>
  <c r="K52" i="1"/>
  <c r="G80" i="1" l="1"/>
  <c r="K80" i="1" s="1"/>
  <c r="P80" i="1"/>
  <c r="R80" i="1" s="1"/>
  <c r="T80" i="1" s="1"/>
  <c r="W17" i="1"/>
  <c r="P50" i="1"/>
  <c r="R50" i="1" s="1"/>
  <c r="T50" i="1" s="1"/>
  <c r="W18" i="1"/>
  <c r="W22" i="1"/>
  <c r="P29" i="1"/>
  <c r="R29" i="1" s="1"/>
  <c r="T29" i="1" s="1"/>
  <c r="P74" i="1"/>
  <c r="R74" i="1" s="1"/>
  <c r="T74" i="1" s="1"/>
  <c r="P72" i="1"/>
  <c r="R72" i="1" s="1"/>
  <c r="T72" i="1" s="1"/>
  <c r="P62" i="1"/>
  <c r="R62" i="1" s="1"/>
  <c r="T62" i="1" s="1"/>
  <c r="P66" i="1"/>
  <c r="R66" i="1" s="1"/>
  <c r="T66" i="1" s="1"/>
  <c r="P73" i="1"/>
  <c r="R73" i="1" s="1"/>
  <c r="T73" i="1" s="1"/>
  <c r="W10" i="1"/>
  <c r="W19" i="1"/>
  <c r="P36" i="1"/>
  <c r="R36" i="1" s="1"/>
  <c r="T36" i="1" s="1"/>
  <c r="P77" i="1"/>
  <c r="R77" i="1" s="1"/>
  <c r="T77" i="1" s="1"/>
  <c r="W4" i="1"/>
  <c r="W6" i="1"/>
  <c r="P30" i="1"/>
  <c r="R30" i="1" s="1"/>
  <c r="T30" i="1" s="1"/>
  <c r="P25" i="1"/>
  <c r="R25" i="1" s="1"/>
  <c r="T25" i="1" s="1"/>
  <c r="W13" i="1"/>
  <c r="P71" i="1"/>
  <c r="R71" i="1" s="1"/>
  <c r="T71" i="1" s="1"/>
  <c r="P43" i="1"/>
  <c r="R43" i="1" s="1"/>
  <c r="T43" i="1" s="1"/>
  <c r="P68" i="1"/>
  <c r="R68" i="1" s="1"/>
  <c r="T68" i="1" s="1"/>
  <c r="W2" i="1"/>
  <c r="P26" i="1"/>
  <c r="R26" i="1" s="1"/>
  <c r="T26" i="1" s="1"/>
  <c r="P56" i="1"/>
  <c r="R56" i="1" s="1"/>
  <c r="T56" i="1" s="1"/>
  <c r="P55" i="1"/>
  <c r="R55" i="1" s="1"/>
  <c r="T55" i="1" s="1"/>
  <c r="P70" i="1"/>
  <c r="R70" i="1" s="1"/>
  <c r="T70" i="1" s="1"/>
  <c r="P22" i="1"/>
  <c r="R22" i="1" s="1"/>
  <c r="T22" i="1" s="1"/>
  <c r="P28" i="1"/>
  <c r="R28" i="1" s="1"/>
  <c r="T28" i="1" s="1"/>
  <c r="P45" i="1"/>
  <c r="R45" i="1" s="1"/>
  <c r="T45" i="1" s="1"/>
  <c r="W9" i="1"/>
  <c r="P51" i="1"/>
  <c r="R51" i="1" s="1"/>
  <c r="T51" i="1" s="1"/>
  <c r="W3" i="1"/>
  <c r="P24" i="1"/>
  <c r="R24" i="1" s="1"/>
  <c r="T24" i="1" s="1"/>
  <c r="P65" i="1"/>
  <c r="R65" i="1" s="1"/>
  <c r="T65" i="1" s="1"/>
  <c r="W8" i="1"/>
  <c r="W16" i="1"/>
  <c r="W5" i="1"/>
  <c r="P48" i="1"/>
  <c r="R48" i="1" s="1"/>
  <c r="T48" i="1" s="1"/>
  <c r="P34" i="1"/>
  <c r="R34" i="1" s="1"/>
  <c r="T34" i="1" s="1"/>
  <c r="P75" i="1"/>
  <c r="R75" i="1" s="1"/>
  <c r="T75" i="1" s="1"/>
  <c r="P40" i="1"/>
  <c r="R40" i="1" s="1"/>
  <c r="T40" i="1" s="1"/>
  <c r="P78" i="1"/>
  <c r="R78" i="1" s="1"/>
  <c r="T78" i="1" s="1"/>
  <c r="P63" i="1"/>
  <c r="R63" i="1" s="1"/>
  <c r="T63" i="1" s="1"/>
  <c r="W7" i="1"/>
  <c r="P58" i="1"/>
  <c r="R58" i="1" s="1"/>
  <c r="T58" i="1" s="1"/>
  <c r="P59" i="1"/>
  <c r="R59" i="1" s="1"/>
  <c r="T59" i="1" s="1"/>
  <c r="P23" i="1"/>
  <c r="R23" i="1" s="1"/>
  <c r="T23" i="1" s="1"/>
  <c r="W14" i="1"/>
  <c r="P38" i="1"/>
  <c r="R38" i="1" s="1"/>
  <c r="T38" i="1" s="1"/>
  <c r="D15" i="1"/>
  <c r="C19" i="1" s="1"/>
  <c r="G79" i="1"/>
  <c r="D16" i="1"/>
  <c r="D19" i="1" s="1"/>
  <c r="P79" i="1"/>
  <c r="C11" i="1"/>
  <c r="C12" i="1"/>
  <c r="O80" i="1" l="1"/>
  <c r="C16" i="1"/>
  <c r="D18" i="1" s="1"/>
  <c r="O79" i="1"/>
  <c r="O74" i="1"/>
  <c r="O56" i="1"/>
  <c r="O76" i="1"/>
  <c r="O58" i="1"/>
  <c r="O60" i="1"/>
  <c r="C15" i="1"/>
  <c r="O57" i="1"/>
  <c r="O67" i="1"/>
  <c r="O70" i="1"/>
  <c r="O77" i="1"/>
  <c r="O69" i="1"/>
  <c r="O64" i="1"/>
  <c r="O62" i="1"/>
  <c r="O52" i="1"/>
  <c r="O59" i="1"/>
  <c r="O65" i="1"/>
  <c r="O61" i="1"/>
  <c r="O66" i="1"/>
  <c r="O73" i="1"/>
  <c r="O71" i="1"/>
  <c r="O48" i="1"/>
  <c r="O49" i="1"/>
  <c r="O53" i="1"/>
  <c r="O68" i="1"/>
  <c r="O55" i="1"/>
  <c r="O72" i="1"/>
  <c r="O75" i="1"/>
  <c r="O63" i="1"/>
  <c r="O51" i="1"/>
  <c r="O54" i="1"/>
  <c r="O78" i="1"/>
  <c r="O50" i="1"/>
  <c r="R79" i="1"/>
  <c r="T79" i="1" s="1"/>
  <c r="E14" i="1" s="1"/>
  <c r="K79" i="1"/>
  <c r="F18" i="1" l="1"/>
  <c r="F19" i="1" s="1"/>
  <c r="C18" i="1"/>
</calcChain>
</file>

<file path=xl/sharedStrings.xml><?xml version="1.0" encoding="utf-8"?>
<sst xmlns="http://schemas.openxmlformats.org/spreadsheetml/2006/main" count="549" uniqueCount="272">
  <si>
    <t>JAVSO..47..105</t>
  </si>
  <si>
    <t>VSB-063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</si>
  <si>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</si>
  <si>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</si>
  <si>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</si>
  <si>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</si>
  <si>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</si>
  <si>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</si>
  <si>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</si>
  <si>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</si>
  <si>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</si>
  <si>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</si>
  <si>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</si>
  <si>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</si>
  <si>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</si>
  <si>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</si>
  <si>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</si>
  <si>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</si>
  <si>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</si>
  <si>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</si>
  <si>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</si>
  <si>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</si>
  <si>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</si>
  <si>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</si>
  <si>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</si>
  <si>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</si>
  <si>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</si>
  <si>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</si>
  <si>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VSX Eph.</t>
  </si>
  <si>
    <t>VSX</t>
  </si>
  <si>
    <t>EW?</t>
  </si>
  <si>
    <t>IBVS 5543</t>
  </si>
  <si>
    <t>I</t>
  </si>
  <si>
    <t>GM Boo / GSC 02016-00830</t>
  </si>
  <si>
    <t>IBVS 5438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</si>
  <si>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</si>
  <si>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</si>
  <si>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</si>
  <si>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</si>
  <si>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</si>
  <si>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</si>
  <si>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</si>
  <si>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II</t>
  </si>
  <si>
    <t>IBVS 5802</t>
  </si>
  <si>
    <t>Start of linear fit &gt;&gt;&gt;&gt;&gt;&gt;&gt;&gt;&gt;&gt;&gt;&gt;&gt;&gt;&gt;&gt;&gt;&gt;&gt;&gt;&gt;</t>
  </si>
  <si>
    <t>IBVS 5874</t>
  </si>
  <si>
    <t>IBVS 5894</t>
  </si>
  <si>
    <t>IBVS 5920</t>
  </si>
  <si>
    <t>IBVS 5929</t>
  </si>
  <si>
    <t>Add cycle</t>
  </si>
  <si>
    <t>Old Cycle</t>
  </si>
  <si>
    <t>IBVS 5960</t>
  </si>
  <si>
    <t>IBVS 5918</t>
  </si>
  <si>
    <t>IBVS 5959</t>
  </si>
  <si>
    <t>IBVS 5992</t>
  </si>
  <si>
    <t>IBVS 6010</t>
  </si>
  <si>
    <t>OEJV 0160</t>
  </si>
  <si>
    <t>IBVS 6048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</si>
  <si>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</si>
  <si>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</si>
  <si>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</si>
  <si>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</si>
  <si>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</si>
  <si>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</si>
  <si>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</si>
  <si>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</si>
  <si>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</si>
  <si>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</si>
  <si>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</si>
  <si>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</si>
  <si>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</si>
  <si>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2451996.5287 </t>
  </si>
  <si>
    <t> 28.03.2001 00:41 </t>
  </si>
  <si>
    <t> 0.0070 </t>
  </si>
  <si>
    <t>E </t>
  </si>
  <si>
    <t>?</t>
  </si>
  <si>
    <t> E.Blättler </t>
  </si>
  <si>
    <t> BBS 125 </t>
  </si>
  <si>
    <t>2452001.4034 </t>
  </si>
  <si>
    <t> 01.04.2001 21:40 </t>
  </si>
  <si>
    <t> 0.0066 </t>
  </si>
  <si>
    <t>2452001.5836 </t>
  </si>
  <si>
    <t> 02.04.2001 02:00 </t>
  </si>
  <si>
    <t> 0.0062 </t>
  </si>
  <si>
    <t>2452022.3507 </t>
  </si>
  <si>
    <t> 22.04.2001 20:25 </t>
  </si>
  <si>
    <t> 0.0090 </t>
  </si>
  <si>
    <t>2452022.5291 </t>
  </si>
  <si>
    <t> 23.04.2001 00:41 </t>
  </si>
  <si>
    <t> 0.0068 </t>
  </si>
  <si>
    <t>2452033.3584 </t>
  </si>
  <si>
    <t> 03.05.2001 20:36 </t>
  </si>
  <si>
    <t> 0.0026 </t>
  </si>
  <si>
    <t>2452041.4856 </t>
  </si>
  <si>
    <t> 11.05.2001 23:39 </t>
  </si>
  <si>
    <t> 0.0046 </t>
  </si>
  <si>
    <t>2452367.3979 </t>
  </si>
  <si>
    <t> 02.04.2002 21:32 </t>
  </si>
  <si>
    <t> 0.0071 </t>
  </si>
  <si>
    <t> BBS 128 </t>
  </si>
  <si>
    <t>2452763.3562 </t>
  </si>
  <si>
    <t> 03.05.2003 20:32 </t>
  </si>
  <si>
    <t> -0.0015 </t>
  </si>
  <si>
    <t> BBS 129 </t>
  </si>
  <si>
    <t>2453081.5055 </t>
  </si>
  <si>
    <t> 17.03.2004 00:07 </t>
  </si>
  <si>
    <t> 0.0021 </t>
  </si>
  <si>
    <t> BBS 130 </t>
  </si>
  <si>
    <t>2453445.5102 </t>
  </si>
  <si>
    <t> 16.03.2005 00:14 </t>
  </si>
  <si>
    <t> -0.0011 </t>
  </si>
  <si>
    <t> E. Blättler </t>
  </si>
  <si>
    <t>IBVS 5653 </t>
  </si>
  <si>
    <t>2453815.4769 </t>
  </si>
  <si>
    <t> 20.03.2006 23:26 </t>
  </si>
  <si>
    <t> -0.0007 </t>
  </si>
  <si>
    <t>C </t>
  </si>
  <si>
    <t>-I</t>
  </si>
  <si>
    <t> M.&amp; C.Rätz </t>
  </si>
  <si>
    <t>BAVM 186 </t>
  </si>
  <si>
    <t>2453900.880 </t>
  </si>
  <si>
    <t> 14.06.2006 09:07 </t>
  </si>
  <si>
    <t> -0.002 </t>
  </si>
  <si>
    <t>o</t>
  </si>
  <si>
    <t> A.Paschke </t>
  </si>
  <si>
    <t>OEJV 0162 </t>
  </si>
  <si>
    <t>2453936.4531 </t>
  </si>
  <si>
    <t> 19.07.2006 22:52 </t>
  </si>
  <si>
    <t> 0.0007 </t>
  </si>
  <si>
    <t>R</t>
  </si>
  <si>
    <t> BBS 133 (=IBVS 5781) </t>
  </si>
  <si>
    <t>2454174.4301 </t>
  </si>
  <si>
    <t> 14.03.2007 22:19 </t>
  </si>
  <si>
    <t> 0.0003 </t>
  </si>
  <si>
    <t>2454186.5265 </t>
  </si>
  <si>
    <t> 27.03.2007 00:38 </t>
  </si>
  <si>
    <t> -0.0008 </t>
  </si>
  <si>
    <t> F.Agerer </t>
  </si>
  <si>
    <t>2454201.5136 </t>
  </si>
  <si>
    <t> 11.04.2007 00:19 </t>
  </si>
  <si>
    <t> -0.0001 </t>
  </si>
  <si>
    <t>2454213.4318 </t>
  </si>
  <si>
    <t> 22.04.2007 22:21 </t>
  </si>
  <si>
    <t> 0.0012 </t>
  </si>
  <si>
    <t>2454570.3954 </t>
  </si>
  <si>
    <t> 13.04.2008 21:29 </t>
  </si>
  <si>
    <t> -0.0013 </t>
  </si>
  <si>
    <t>BAVM 201 </t>
  </si>
  <si>
    <t>2454570.5776 </t>
  </si>
  <si>
    <t> 14.04.2008 01:51 </t>
  </si>
  <si>
    <t> 0.0004 </t>
  </si>
  <si>
    <t>2454631.0653 </t>
  </si>
  <si>
    <t> 13.06.2008 13:34 </t>
  </si>
  <si>
    <t>Ic</t>
  </si>
  <si>
    <t> K.Nakajima </t>
  </si>
  <si>
    <t>VSB 48 </t>
  </si>
  <si>
    <t>2454888.9036 </t>
  </si>
  <si>
    <t> 26.02.2009 09:41 </t>
  </si>
  <si>
    <t> 0.0001 </t>
  </si>
  <si>
    <t> R.Nelson </t>
  </si>
  <si>
    <t>IBVS 5929 </t>
  </si>
  <si>
    <t>2454933.5024 </t>
  </si>
  <si>
    <t> 12.04.2009 00:03 </t>
  </si>
  <si>
    <t>BAVM 209 </t>
  </si>
  <si>
    <t>2454961.8511 </t>
  </si>
  <si>
    <t> 10.05.2009 08:25 </t>
  </si>
  <si>
    <t> 0.0016 </t>
  </si>
  <si>
    <t> R.Diethelm </t>
  </si>
  <si>
    <t>IBVS 5894 </t>
  </si>
  <si>
    <t>2454968.5305 </t>
  </si>
  <si>
    <t> 17.05.2009 00:43 </t>
  </si>
  <si>
    <t>2455015.4787 </t>
  </si>
  <si>
    <t> 02.07.2009 23:29 </t>
  </si>
  <si>
    <t> 0.0030 </t>
  </si>
  <si>
    <t>IBVS 5920 </t>
  </si>
  <si>
    <t>2455315.3853 </t>
  </si>
  <si>
    <t> 28.04.2010 21:14 </t>
  </si>
  <si>
    <t>BAVM 214 </t>
  </si>
  <si>
    <t>2455315.5660 </t>
  </si>
  <si>
    <t> 29.04.2010 01:35 </t>
  </si>
  <si>
    <t> 0.0005 </t>
  </si>
  <si>
    <t>2455398.4414 </t>
  </si>
  <si>
    <t> 20.07.2010 22:35 </t>
  </si>
  <si>
    <t> -0.0009 </t>
  </si>
  <si>
    <t>IBVS 5960 </t>
  </si>
  <si>
    <t>2455625.58897 </t>
  </si>
  <si>
    <t> 05.03.2011 02:08 </t>
  </si>
  <si>
    <t> 0.00289 </t>
  </si>
  <si>
    <t> M.Lehky </t>
  </si>
  <si>
    <t>OEJV 0160 </t>
  </si>
  <si>
    <t>2455644.9063 </t>
  </si>
  <si>
    <t> 24.03.2011 09:45 </t>
  </si>
  <si>
    <t>IBVS 5992 </t>
  </si>
  <si>
    <t>2455649.60195 </t>
  </si>
  <si>
    <t> 29.03.2011 02:26 </t>
  </si>
  <si>
    <t> 0.00146 </t>
  </si>
  <si>
    <t>2455654.4777 </t>
  </si>
  <si>
    <t> 02.04.2011 23:27 </t>
  </si>
  <si>
    <t>BAVM 220 </t>
  </si>
  <si>
    <t>2455671.4512 </t>
  </si>
  <si>
    <t> 19.04.2011 22:49 </t>
  </si>
  <si>
    <t> W.Moschner &amp; P.Frank </t>
  </si>
  <si>
    <t>2455672.5338 </t>
  </si>
  <si>
    <t> 21.04.2011 00:48 </t>
  </si>
  <si>
    <t> 0.0023 </t>
  </si>
  <si>
    <t>2455695.8251 </t>
  </si>
  <si>
    <t> 14.05.2011 07:48 </t>
  </si>
  <si>
    <t> 0.0014 </t>
  </si>
  <si>
    <t>2456008.55705 </t>
  </si>
  <si>
    <t> 22.03.2012 01:22 </t>
  </si>
  <si>
    <t> 0.00438 </t>
  </si>
  <si>
    <t>2456009.4585 </t>
  </si>
  <si>
    <t> 22.03.2012 23:00 </t>
  </si>
  <si>
    <t>BAVM 228 </t>
  </si>
  <si>
    <t>2456009.6398 </t>
  </si>
  <si>
    <t> 23.03.2012 03:21 </t>
  </si>
  <si>
    <t> 0.0038 </t>
  </si>
  <si>
    <t>2456015.4167 </t>
  </si>
  <si>
    <t> 28.03.2012 22:00 </t>
  </si>
  <si>
    <t> 0.0028 </t>
  </si>
  <si>
    <t>2456015.5986 </t>
  </si>
  <si>
    <t> 29.03.2012 02:21 </t>
  </si>
  <si>
    <t> 0.0041 </t>
  </si>
  <si>
    <t>2456355.58748 </t>
  </si>
  <si>
    <t> 04.03.2013 02:05 </t>
  </si>
  <si>
    <t> -0.00046 </t>
  </si>
  <si>
    <t>3879</t>
  </si>
  <si>
    <t>3977.5</t>
  </si>
  <si>
    <t>4636.5</t>
  </si>
  <si>
    <t>4670</t>
  </si>
  <si>
    <t>4711.5</t>
  </si>
  <si>
    <t>4744.5</t>
  </si>
  <si>
    <t>5733</t>
  </si>
  <si>
    <t>5733.5</t>
  </si>
  <si>
    <t>5901</t>
  </si>
  <si>
    <t>6615</t>
  </si>
  <si>
    <t>6738.5</t>
  </si>
  <si>
    <t>6817</t>
  </si>
  <si>
    <t>6835.5</t>
  </si>
  <si>
    <t>6965.5</t>
  </si>
  <si>
    <t>7796</t>
  </si>
  <si>
    <t>7796.5</t>
  </si>
  <si>
    <t>8026</t>
  </si>
  <si>
    <t>8655</t>
  </si>
  <si>
    <t>8708.5</t>
  </si>
  <si>
    <t>8721.5</t>
  </si>
  <si>
    <t>8735</t>
  </si>
  <si>
    <t>8782</t>
  </si>
  <si>
    <t>8785</t>
  </si>
  <si>
    <t>8849.5</t>
  </si>
  <si>
    <t>9715.5</t>
  </si>
  <si>
    <t>9718</t>
  </si>
  <si>
    <t>9718.5</t>
  </si>
  <si>
    <t>9734.5</t>
  </si>
  <si>
    <t>9735</t>
  </si>
  <si>
    <t>10676.5</t>
  </si>
  <si>
    <t>OEJV 0162</t>
  </si>
  <si>
    <t>Lin. Ephemeris =</t>
  </si>
  <si>
    <t>Quad. Ephemeris =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</si>
  <si>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</si>
  <si>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</si>
  <si>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</si>
  <si>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OEJV 0179</t>
  </si>
  <si>
    <t>IBVS 6234</t>
  </si>
  <si>
    <t>JAVSO..44…69</t>
  </si>
  <si>
    <t>JAVSO..45..121</t>
  </si>
  <si>
    <t>IBVS 6262</t>
  </si>
  <si>
    <t>JAVSO..46..184</t>
  </si>
  <si>
    <t>OEJV 0211</t>
  </si>
  <si>
    <t>VSB 067</t>
  </si>
  <si>
    <t>IBVS, 63, 6262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</si>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</sst>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1" fillId="0" borderId="0"/>
    <xf numFmtId="0" fontId="11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/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4" borderId="11" xfId="0" applyFont="1" applyFill="1" applyBorder="1" applyAlignment="1">
      <alignment horizontal="left" vertical="top" wrapText="1" indent="1"/>
    </xf>
    <xf numFmtId="0" fontId="5" fillId="24" borderId="11" xfId="0" applyFont="1" applyFill="1" applyBorder="1" applyAlignment="1">
      <alignment horizontal="center" vertical="top" wrapText="1"/>
    </xf>
    <xf numFmtId="0" fontId="5" fillId="24" borderId="11" xfId="0" applyFont="1" applyFill="1" applyBorder="1" applyAlignment="1">
      <alignment horizontal="right" vertical="top" wrapText="1"/>
    </xf>
    <xf numFmtId="0" fontId="17" fillId="24" borderId="11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11" fontId="0" fillId="0" borderId="0" xfId="0" applyNumberFormat="1" applyAlignment="1"/>
    <xf numFmtId="0" fontId="0" fillId="0" borderId="20" xfId="0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6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43" applyFont="1"/>
    <xf numFmtId="0" fontId="40" fillId="0" borderId="0" xfId="43" applyFont="1" applyAlignment="1">
      <alignment horizontal="center"/>
    </xf>
    <xf numFmtId="0" fontId="40" fillId="0" borderId="0" xfId="43" applyFont="1" applyAlignment="1">
      <alignment horizontal="left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40" fillId="0" borderId="0" xfId="0" applyFont="1" applyAlignment="1"/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0" fillId="25" borderId="0" xfId="0" applyFill="1" applyAlignme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5" fontId="41" fillId="0" borderId="0" xfId="0" applyNumberFormat="1" applyFont="1" applyAlignment="1" applyProtection="1">
      <alignment vertical="center" wrapText="1"/>
      <protection locked="0"/>
    </xf>
    <xf numFmtId="0" fontId="41" fillId="0" borderId="0" xfId="0" applyFont="1" applyAlignment="1" applyProtection="1"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Boo - O-C Diagr.</a:t>
            </a:r>
          </a:p>
        </c:rich>
      </c:tx>
      <c:layout>
        <c:manualLayout>
          <c:xMode val="edge"/>
          <c:yMode val="edge"/>
          <c:x val="0.390581717451523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3878116343489"/>
          <c:y val="0.14634168126798494"/>
          <c:w val="0.83102493074792239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  <c:pt idx="59">
                  <c:v>19503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2-4EE7-8886-CEE4D580AA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  <c:pt idx="59">
                  <c:v>19503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8">
                  <c:v>0</c:v>
                </c:pt>
                <c:pt idx="10">
                  <c:v>7.0039999991422519E-3</c:v>
                </c:pt>
                <c:pt idx="13">
                  <c:v>9.2999999906169251E-3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A2-4EE7-8886-CEE4D580AA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  <c:pt idx="59">
                  <c:v>19503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2">
                  <c:v>1.0133999996469356E-2</c:v>
                </c:pt>
                <c:pt idx="16">
                  <c:v>1.3043999999354128E-2</c:v>
                </c:pt>
                <c:pt idx="17">
                  <c:v>1.38299999962328E-2</c:v>
                </c:pt>
                <c:pt idx="18">
                  <c:v>1.520199999504257E-2</c:v>
                </c:pt>
                <c:pt idx="19">
                  <c:v>1.5635999996447936E-2</c:v>
                </c:pt>
                <c:pt idx="20">
                  <c:v>1.7277999992074911E-2</c:v>
                </c:pt>
                <c:pt idx="23">
                  <c:v>2.0497999990766402E-2</c:v>
                </c:pt>
                <c:pt idx="25">
                  <c:v>2.0345999997516628E-2</c:v>
                </c:pt>
                <c:pt idx="27">
                  <c:v>2.3227999998198356E-2</c:v>
                </c:pt>
                <c:pt idx="28">
                  <c:v>2.3369999995338731E-2</c:v>
                </c:pt>
                <c:pt idx="33">
                  <c:v>2.7704000000085216E-2</c:v>
                </c:pt>
                <c:pt idx="34">
                  <c:v>2.8751999998348765E-2</c:v>
                </c:pt>
                <c:pt idx="38">
                  <c:v>3.1475999996473547E-2</c:v>
                </c:pt>
                <c:pt idx="39">
                  <c:v>3.2217999993008561E-2</c:v>
                </c:pt>
                <c:pt idx="40">
                  <c:v>3.1261999996786471E-2</c:v>
                </c:pt>
                <c:pt idx="41">
                  <c:v>3.2603999992716126E-2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A2-4EE7-8886-CEE4D580AA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  <c:pt idx="59">
                  <c:v>19503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3.2260000007227063E-3</c:v>
                </c:pt>
                <c:pt idx="1">
                  <c:v>2.8600000005098991E-3</c:v>
                </c:pt>
                <c:pt idx="2">
                  <c:v>2.5019999957294203E-3</c:v>
                </c:pt>
                <c:pt idx="3">
                  <c:v>5.4319999981089495E-3</c:v>
                </c:pt>
                <c:pt idx="4">
                  <c:v>3.2739999951445498E-3</c:v>
                </c:pt>
                <c:pt idx="5">
                  <c:v>-9.0600000839913264E-4</c:v>
                </c:pt>
                <c:pt idx="6">
                  <c:v>1.1839999933727086E-3</c:v>
                </c:pt>
                <c:pt idx="7">
                  <c:v>6.2939999988884665E-3</c:v>
                </c:pt>
                <c:pt idx="9">
                  <c:v>8.9999999909196049E-4</c:v>
                </c:pt>
                <c:pt idx="11">
                  <c:v>6.7759999947156757E-3</c:v>
                </c:pt>
                <c:pt idx="14">
                  <c:v>1.2473999995563645E-2</c:v>
                </c:pt>
                <c:pt idx="15">
                  <c:v>1.4029999991180375E-2</c:v>
                </c:pt>
                <c:pt idx="21">
                  <c:v>1.8047999998088926E-2</c:v>
                </c:pt>
                <c:pt idx="22">
                  <c:v>1.9523999995726626E-2</c:v>
                </c:pt>
                <c:pt idx="24">
                  <c:v>2.1591999997326639E-2</c:v>
                </c:pt>
                <c:pt idx="26">
                  <c:v>2.3465999998734333E-2</c:v>
                </c:pt>
                <c:pt idx="29">
                  <c:v>2.2647999998298474E-2</c:v>
                </c:pt>
                <c:pt idx="30">
                  <c:v>2.8253999989829026E-2</c:v>
                </c:pt>
                <c:pt idx="31">
                  <c:v>2.5878000000375323E-2</c:v>
                </c:pt>
                <c:pt idx="32">
                  <c:v>2.7019999994081445E-2</c:v>
                </c:pt>
                <c:pt idx="35">
                  <c:v>2.8003999992506579E-2</c:v>
                </c:pt>
                <c:pt idx="36">
                  <c:v>2.7322000001731794E-2</c:v>
                </c:pt>
                <c:pt idx="37">
                  <c:v>3.2815999999002088E-2</c:v>
                </c:pt>
                <c:pt idx="42">
                  <c:v>3.0769999997573905E-2</c:v>
                </c:pt>
                <c:pt idx="43">
                  <c:v>3.8169999992533121E-2</c:v>
                </c:pt>
                <c:pt idx="44">
                  <c:v>4.4411999995645601E-2</c:v>
                </c:pt>
                <c:pt idx="45">
                  <c:v>4.4254000000364613E-2</c:v>
                </c:pt>
                <c:pt idx="46">
                  <c:v>5.2265999998780899E-2</c:v>
                </c:pt>
                <c:pt idx="47">
                  <c:v>5.3515999992669094E-2</c:v>
                </c:pt>
                <c:pt idx="48">
                  <c:v>6.03320000009262E-2</c:v>
                </c:pt>
                <c:pt idx="49">
                  <c:v>6.0532000003149733E-2</c:v>
                </c:pt>
                <c:pt idx="50">
                  <c:v>6.2375999994401354E-2</c:v>
                </c:pt>
                <c:pt idx="51">
                  <c:v>6.1639999992621597E-2</c:v>
                </c:pt>
                <c:pt idx="52">
                  <c:v>7.0647999993525445E-2</c:v>
                </c:pt>
                <c:pt idx="53">
                  <c:v>7.917799999268027E-2</c:v>
                </c:pt>
                <c:pt idx="54">
                  <c:v>7.9907999999704771E-2</c:v>
                </c:pt>
                <c:pt idx="55">
                  <c:v>7.1187999994435813E-2</c:v>
                </c:pt>
                <c:pt idx="56">
                  <c:v>7.292800018331036E-2</c:v>
                </c:pt>
                <c:pt idx="57">
                  <c:v>9.0901999996276572E-2</c:v>
                </c:pt>
                <c:pt idx="58">
                  <c:v>0.25973599999269936</c:v>
                </c:pt>
                <c:pt idx="59">
                  <c:v>0.12365200018393807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A2-4EE7-8886-CEE4D580AA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  <c:pt idx="59">
                  <c:v>19503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A2-4EE7-8886-CEE4D580AA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  <c:pt idx="59">
                  <c:v>19503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A2-4EE7-8886-CEE4D580AA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  <c:pt idx="59">
                  <c:v>19503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A2-4EE7-8886-CEE4D580AA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  <c:pt idx="59">
                  <c:v>19503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27">
                  <c:v>-4.4691141450482613E-3</c:v>
                </c:pt>
                <c:pt idx="28">
                  <c:v>-4.4628534063404779E-3</c:v>
                </c:pt>
                <c:pt idx="29">
                  <c:v>-1.5891743394630953E-3</c:v>
                </c:pt>
                <c:pt idx="30">
                  <c:v>6.2868349549415753E-3</c:v>
                </c:pt>
                <c:pt idx="31">
                  <c:v>6.9567339966755265E-3</c:v>
                </c:pt>
                <c:pt idx="32">
                  <c:v>7.1195132030781594E-3</c:v>
                </c:pt>
                <c:pt idx="33">
                  <c:v>7.2885531481885896E-3</c:v>
                </c:pt>
                <c:pt idx="34">
                  <c:v>7.8770625867212174E-3</c:v>
                </c:pt>
                <c:pt idx="35">
                  <c:v>7.9146270189679874E-3</c:v>
                </c:pt>
                <c:pt idx="36">
                  <c:v>8.7222623122733961E-3</c:v>
                </c:pt>
                <c:pt idx="37">
                  <c:v>1.9565861754172353E-2</c:v>
                </c:pt>
                <c:pt idx="38">
                  <c:v>1.9597165447711312E-2</c:v>
                </c:pt>
                <c:pt idx="39">
                  <c:v>1.960342618641911E-2</c:v>
                </c:pt>
                <c:pt idx="40">
                  <c:v>1.9803769825068512E-2</c:v>
                </c:pt>
                <c:pt idx="41">
                  <c:v>1.981003056377631E-2</c:v>
                </c:pt>
                <c:pt idx="42">
                  <c:v>3.1599001550552133E-2</c:v>
                </c:pt>
                <c:pt idx="43">
                  <c:v>3.1599001550552133E-2</c:v>
                </c:pt>
                <c:pt idx="44">
                  <c:v>4.4846724656243939E-2</c:v>
                </c:pt>
                <c:pt idx="45">
                  <c:v>4.691902916852371E-2</c:v>
                </c:pt>
                <c:pt idx="46">
                  <c:v>5.857026390372809E-2</c:v>
                </c:pt>
                <c:pt idx="47">
                  <c:v>6.0417181822527269E-2</c:v>
                </c:pt>
                <c:pt idx="48">
                  <c:v>6.8700139132938529E-2</c:v>
                </c:pt>
                <c:pt idx="49">
                  <c:v>7.0672271825893598E-2</c:v>
                </c:pt>
                <c:pt idx="50">
                  <c:v>7.1561296722400344E-2</c:v>
                </c:pt>
                <c:pt idx="51">
                  <c:v>7.2137284683517364E-2</c:v>
                </c:pt>
                <c:pt idx="52">
                  <c:v>8.2304724344974586E-2</c:v>
                </c:pt>
                <c:pt idx="53">
                  <c:v>9.5859223647348293E-2</c:v>
                </c:pt>
                <c:pt idx="54">
                  <c:v>9.7205282469523965E-2</c:v>
                </c:pt>
                <c:pt idx="55">
                  <c:v>8.4308160731468615E-2</c:v>
                </c:pt>
                <c:pt idx="56">
                  <c:v>8.4402071812085547E-2</c:v>
                </c:pt>
                <c:pt idx="57">
                  <c:v>0.11039665892684562</c:v>
                </c:pt>
                <c:pt idx="58">
                  <c:v>9.5852962908640496E-2</c:v>
                </c:pt>
                <c:pt idx="59">
                  <c:v>0.1490567204474727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A2-4EE7-8886-CEE4D580AAEF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Active!$V$2:$V$26</c:f>
              <c:numCache>
                <c:formatCode>General</c:formatCode>
                <c:ptCount val="25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</c:numCache>
            </c:numRef>
          </c:xVal>
          <c:yVal>
            <c:numRef>
              <c:f>Active!$W$2:$W$26</c:f>
              <c:numCache>
                <c:formatCode>General</c:formatCode>
                <c:ptCount val="25"/>
                <c:pt idx="0">
                  <c:v>4.4766231352050181E-3</c:v>
                </c:pt>
                <c:pt idx="1">
                  <c:v>3.6139620280057233E-3</c:v>
                </c:pt>
                <c:pt idx="2">
                  <c:v>3.2534035466119885E-3</c:v>
                </c:pt>
                <c:pt idx="3">
                  <c:v>3.3949476910238138E-3</c:v>
                </c:pt>
                <c:pt idx="4">
                  <c:v>4.0385944612411984E-3</c:v>
                </c:pt>
                <c:pt idx="5">
                  <c:v>5.1843438572641426E-3</c:v>
                </c:pt>
                <c:pt idx="6">
                  <c:v>6.8321958790926486E-3</c:v>
                </c:pt>
                <c:pt idx="7">
                  <c:v>8.9821505267267121E-3</c:v>
                </c:pt>
                <c:pt idx="8">
                  <c:v>1.1634207800166337E-2</c:v>
                </c:pt>
                <c:pt idx="9">
                  <c:v>1.478836769941152E-2</c:v>
                </c:pt>
                <c:pt idx="10">
                  <c:v>1.8444630224462265E-2</c:v>
                </c:pt>
                <c:pt idx="11">
                  <c:v>2.2602995375318569E-2</c:v>
                </c:pt>
                <c:pt idx="12">
                  <c:v>2.7263463151980433E-2</c:v>
                </c:pt>
                <c:pt idx="13">
                  <c:v>3.2426033554447856E-2</c:v>
                </c:pt>
                <c:pt idx="14">
                  <c:v>3.8090706582720839E-2</c:v>
                </c:pt>
                <c:pt idx="15">
                  <c:v>4.4257482236799379E-2</c:v>
                </c:pt>
                <c:pt idx="16">
                  <c:v>5.0926360516683478E-2</c:v>
                </c:pt>
                <c:pt idx="17">
                  <c:v>5.8097341422373147E-2</c:v>
                </c:pt>
                <c:pt idx="18">
                  <c:v>6.5770424953868367E-2</c:v>
                </c:pt>
                <c:pt idx="19">
                  <c:v>7.3945611111169152E-2</c:v>
                </c:pt>
                <c:pt idx="20">
                  <c:v>8.2622899894275501E-2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A2-4EE7-8886-CEE4D580A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7048"/>
        <c:axId val="1"/>
      </c:scatterChart>
      <c:valAx>
        <c:axId val="466617048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3074792243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7645429362881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7617728531856"/>
          <c:y val="0.92073298764483702"/>
          <c:w val="0.6620498614958449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A03D4D9-9CF0-8C85-1873-6E63234F5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www.konkoly.hu/cgi-bin/IBVS?5894" TargetMode="External"/><Relationship Id="rId18" Type="http://schemas.openxmlformats.org/officeDocument/2006/relationships/hyperlink" Target="http://www.konkoly.hu/cgi-bin/IBVS?5960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86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www.bav-astro.de/sfs/BAVM_link.php?BAVMnr=214" TargetMode="External"/><Relationship Id="rId25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653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konkoly.hu/cgi-bin/IBVS?5992" TargetMode="External"/><Relationship Id="rId29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5929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konkoly.hu/cgi-bin/IBVS?5920" TargetMode="External"/><Relationship Id="rId23" Type="http://schemas.openxmlformats.org/officeDocument/2006/relationships/hyperlink" Target="http://www.bav-astro.de/sfs/BAVM_link.php?BAVMnr=220" TargetMode="External"/><Relationship Id="rId28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vsolj.cetus-net.org/no48.pdf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2.pdf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www.bav-astro.de/sfs/BAVM_link.php?BAVMnr=228" TargetMode="External"/><Relationship Id="rId30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0"/>
  <sheetViews>
    <sheetView tabSelected="1" workbookViewId="0">
      <pane xSplit="14" ySplit="21" topLeftCell="O67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33</v>
      </c>
      <c r="V1" s="4" t="s">
        <v>10</v>
      </c>
      <c r="W1" s="6" t="s">
        <v>21</v>
      </c>
    </row>
    <row r="2" spans="1:23">
      <c r="A2" t="s">
        <v>23</v>
      </c>
      <c r="B2" t="s">
        <v>30</v>
      </c>
      <c r="C2" s="3"/>
      <c r="D2" s="3"/>
      <c r="V2">
        <v>-4000</v>
      </c>
      <c r="W2">
        <f t="shared" ref="W2:W22" si="0">+D$11+D$12*V2+D$13*V2^2</f>
        <v>4.4766231352050181E-3</v>
      </c>
    </row>
    <row r="3" spans="1:23" ht="13.5" thickBot="1">
      <c r="V3">
        <v>-3000</v>
      </c>
      <c r="W3">
        <f t="shared" si="0"/>
        <v>3.6139620280057233E-3</v>
      </c>
    </row>
    <row r="4" spans="1:23" ht="13.5" thickBot="1">
      <c r="A4" s="5" t="s">
        <v>28</v>
      </c>
      <c r="C4" s="8">
        <v>52700.160000000003</v>
      </c>
      <c r="D4" s="9">
        <v>0.36111599999999999</v>
      </c>
      <c r="V4">
        <v>-2000</v>
      </c>
      <c r="W4">
        <f t="shared" si="0"/>
        <v>3.2534035466119885E-3</v>
      </c>
    </row>
    <row r="5" spans="1:23">
      <c r="A5" s="21" t="s">
        <v>36</v>
      </c>
      <c r="B5" s="15"/>
      <c r="C5" s="22">
        <v>-9.5</v>
      </c>
      <c r="D5" s="15" t="s">
        <v>37</v>
      </c>
      <c r="V5">
        <v>-1000</v>
      </c>
      <c r="W5">
        <f t="shared" si="0"/>
        <v>3.3949476910238138E-3</v>
      </c>
    </row>
    <row r="6" spans="1:23">
      <c r="A6" s="5" t="s">
        <v>2</v>
      </c>
      <c r="V6">
        <v>0</v>
      </c>
      <c r="W6">
        <f t="shared" si="0"/>
        <v>4.0385944612411984E-3</v>
      </c>
    </row>
    <row r="7" spans="1:23">
      <c r="A7" t="s">
        <v>3</v>
      </c>
      <c r="C7">
        <f>+C4</f>
        <v>52700.160000000003</v>
      </c>
      <c r="V7">
        <v>1000</v>
      </c>
      <c r="W7">
        <f t="shared" si="0"/>
        <v>5.1843438572641426E-3</v>
      </c>
    </row>
    <row r="8" spans="1:23">
      <c r="A8" t="s">
        <v>4</v>
      </c>
      <c r="C8">
        <f>+D4</f>
        <v>0.36111599999999999</v>
      </c>
      <c r="V8">
        <v>2000</v>
      </c>
      <c r="W8">
        <f t="shared" si="0"/>
        <v>6.8321958790926486E-3</v>
      </c>
    </row>
    <row r="9" spans="1:23">
      <c r="A9" s="32" t="s">
        <v>44</v>
      </c>
      <c r="B9" s="33">
        <v>63</v>
      </c>
      <c r="C9" s="24" t="str">
        <f>"F"&amp;B9</f>
        <v>F63</v>
      </c>
      <c r="D9" s="18" t="str">
        <f>"G"&amp;B9</f>
        <v>G63</v>
      </c>
      <c r="V9">
        <v>3000</v>
      </c>
      <c r="W9">
        <f t="shared" si="0"/>
        <v>8.9821505267267121E-3</v>
      </c>
    </row>
    <row r="10" spans="1:23" ht="13.5" thickBot="1">
      <c r="A10" s="15"/>
      <c r="B10" s="15"/>
      <c r="C10" s="4" t="s">
        <v>19</v>
      </c>
      <c r="D10" s="4" t="s">
        <v>20</v>
      </c>
      <c r="E10" s="15"/>
      <c r="V10">
        <v>4000</v>
      </c>
      <c r="W10">
        <f t="shared" si="0"/>
        <v>1.1634207800166337E-2</v>
      </c>
    </row>
    <row r="11" spans="1:23">
      <c r="A11" s="15" t="s">
        <v>15</v>
      </c>
      <c r="B11" s="15"/>
      <c r="C11" s="23">
        <f ca="1">INTERCEPT(INDIRECT($D$9):G992,INDIRECT($C$9):F992)</f>
        <v>-9.5149653588734492E-2</v>
      </c>
      <c r="D11" s="3">
        <f>+E11*F11</f>
        <v>4.0385944612411984E-3</v>
      </c>
      <c r="E11" s="54">
        <v>4.0385944612411984E-3</v>
      </c>
      <c r="F11">
        <v>1</v>
      </c>
      <c r="V11">
        <v>5000</v>
      </c>
      <c r="W11">
        <f t="shared" si="0"/>
        <v>1.478836769941152E-2</v>
      </c>
    </row>
    <row r="12" spans="1:23">
      <c r="A12" s="15" t="s">
        <v>16</v>
      </c>
      <c r="B12" s="15"/>
      <c r="C12" s="23">
        <f ca="1">SLOPE(INDIRECT($D$9):G992,INDIRECT($C$9):F992)</f>
        <v>1.2521477415587714E-5</v>
      </c>
      <c r="D12" s="3">
        <f>+E12*F12</f>
        <v>8.9469808312016477E-7</v>
      </c>
      <c r="E12" s="55">
        <v>8.9469808312016477E-3</v>
      </c>
      <c r="F12" s="56">
        <v>1E-4</v>
      </c>
      <c r="V12">
        <v>6000</v>
      </c>
      <c r="W12">
        <f t="shared" si="0"/>
        <v>1.8444630224462265E-2</v>
      </c>
    </row>
    <row r="13" spans="1:23" ht="13.5" thickBot="1">
      <c r="A13" s="15" t="s">
        <v>18</v>
      </c>
      <c r="B13" s="15"/>
      <c r="C13" s="3" t="s">
        <v>13</v>
      </c>
      <c r="D13" s="3">
        <f>+E13*F13</f>
        <v>2.5105131290277992E-10</v>
      </c>
      <c r="E13" s="57">
        <v>2.5105131290277992E-2</v>
      </c>
      <c r="F13" s="56">
        <v>1E-8</v>
      </c>
      <c r="V13">
        <v>7000</v>
      </c>
      <c r="W13">
        <f t="shared" si="0"/>
        <v>2.2602995375318569E-2</v>
      </c>
    </row>
    <row r="14" spans="1:23">
      <c r="A14" s="15"/>
      <c r="B14" s="15"/>
      <c r="C14" s="15"/>
      <c r="E14">
        <f>SUM(T21:T950)</f>
        <v>3.4045222624737075E-2</v>
      </c>
      <c r="V14">
        <v>8000</v>
      </c>
      <c r="W14">
        <f t="shared" si="0"/>
        <v>2.7263463151980433E-2</v>
      </c>
    </row>
    <row r="15" spans="1:23">
      <c r="A15" s="25" t="s">
        <v>17</v>
      </c>
      <c r="B15" s="15"/>
      <c r="C15" s="26">
        <f ca="1">(C7+C11)+(C8+C12)*INT(MAX(F21:F3533))</f>
        <v>59743.154404720452</v>
      </c>
      <c r="D15" s="58">
        <f>+C7+INT(MAX(F21:F1583))*C8+D11+D12*INT(MAX(F21:F4018))+D13*INT(MAX(F21:F4045)^2)</f>
        <v>59743.122327528174</v>
      </c>
      <c r="E15" s="27" t="s">
        <v>49</v>
      </c>
      <c r="F15" s="22">
        <v>1</v>
      </c>
      <c r="V15">
        <v>9000</v>
      </c>
      <c r="W15">
        <f t="shared" si="0"/>
        <v>3.2426033554447856E-2</v>
      </c>
    </row>
    <row r="16" spans="1:23">
      <c r="A16" s="29" t="s">
        <v>5</v>
      </c>
      <c r="B16" s="15"/>
      <c r="C16" s="30">
        <f ca="1">+C8+C12</f>
        <v>0.36112852147741559</v>
      </c>
      <c r="D16" s="58">
        <f>+C8+D12+2*D13*MAX(F21:F896)</f>
        <v>0.36112668720559421</v>
      </c>
      <c r="E16" s="27" t="s">
        <v>38</v>
      </c>
      <c r="F16" s="28">
        <f ca="1">NOW()+15018.5+$C$5/24</f>
        <v>60175.790325231479</v>
      </c>
      <c r="V16">
        <v>10000</v>
      </c>
      <c r="W16">
        <f t="shared" si="0"/>
        <v>3.8090706582720839E-2</v>
      </c>
    </row>
    <row r="17" spans="1:23" ht="13.5" thickBot="1">
      <c r="A17" s="27" t="s">
        <v>27</v>
      </c>
      <c r="B17" s="15"/>
      <c r="C17" s="15">
        <f>COUNT(C21:C2191)</f>
        <v>60</v>
      </c>
      <c r="E17" s="27" t="s">
        <v>50</v>
      </c>
      <c r="F17" s="28">
        <f ca="1">ROUND(2*(F16-$C$7)/$C$8,0)/2+F15</f>
        <v>20702.5</v>
      </c>
      <c r="V17">
        <v>11000</v>
      </c>
      <c r="W17">
        <f t="shared" si="0"/>
        <v>4.4257482236799379E-2</v>
      </c>
    </row>
    <row r="18" spans="1:23" ht="14.25" thickTop="1" thickBot="1">
      <c r="A18" s="59" t="s">
        <v>257</v>
      </c>
      <c r="B18" s="15"/>
      <c r="C18" s="60">
        <f ca="1">+C15</f>
        <v>59743.154404720452</v>
      </c>
      <c r="D18" s="61">
        <f ca="1">+C16</f>
        <v>0.36112852147741559</v>
      </c>
      <c r="E18" s="27" t="s">
        <v>39</v>
      </c>
      <c r="F18" s="18">
        <f ca="1">ROUND(2*(F16-$C$15)/$C$16,0)/2+F15</f>
        <v>1199</v>
      </c>
      <c r="V18">
        <v>12000</v>
      </c>
      <c r="W18">
        <f t="shared" si="0"/>
        <v>5.0926360516683478E-2</v>
      </c>
    </row>
    <row r="19" spans="1:23" ht="14.25" thickTop="1" thickBot="1">
      <c r="A19" s="62" t="s">
        <v>258</v>
      </c>
      <c r="C19" s="63">
        <f>+D15</f>
        <v>59743.122327528174</v>
      </c>
      <c r="D19" s="64">
        <f>+D16</f>
        <v>0.36112668720559421</v>
      </c>
      <c r="E19" s="27" t="s">
        <v>40</v>
      </c>
      <c r="F19" s="31">
        <f ca="1">+$C$15+$C$16*F18-15018.5-$C$5/24</f>
        <v>45158.043335305207</v>
      </c>
      <c r="V19">
        <v>13000</v>
      </c>
      <c r="W19">
        <f t="shared" si="0"/>
        <v>5.8097341422373147E-2</v>
      </c>
    </row>
    <row r="20" spans="1:23" ht="1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6" t="s">
        <v>260</v>
      </c>
      <c r="S20" s="6" t="s">
        <v>259</v>
      </c>
      <c r="T20" s="6" t="s">
        <v>261</v>
      </c>
      <c r="V20">
        <v>14000</v>
      </c>
      <c r="W20">
        <f t="shared" si="0"/>
        <v>6.5770424953868367E-2</v>
      </c>
    </row>
    <row r="21" spans="1:23">
      <c r="A21" s="52" t="s">
        <v>77</v>
      </c>
      <c r="B21" s="53" t="s">
        <v>42</v>
      </c>
      <c r="C21" s="52">
        <v>51996.528700000003</v>
      </c>
      <c r="D21" s="52" t="s">
        <v>70</v>
      </c>
      <c r="E21">
        <f t="shared" ref="E21:E47" si="1">+(C21-C$7)/C$8</f>
        <v>-1948.4910665824857</v>
      </c>
      <c r="F21">
        <f t="shared" ref="F21:F47" si="2">ROUND(2*E21,0)/2</f>
        <v>-1948.5</v>
      </c>
      <c r="G21">
        <f t="shared" ref="G21:G30" si="3">+C21-(C$7+F21*C$8)</f>
        <v>3.2260000007227063E-3</v>
      </c>
      <c r="K21">
        <f t="shared" ref="K21:K28" si="4">+G21</f>
        <v>3.2260000007227063E-3</v>
      </c>
      <c r="P21">
        <f>+D$11+D$12*F21+D$13*F21^2</f>
        <v>3.2484297782793504E-3</v>
      </c>
      <c r="Q21" s="2">
        <f t="shared" ref="Q21:Q47" si="5">+C21-15018.5</f>
        <v>36978.028700000003</v>
      </c>
      <c r="R21">
        <f>+(P21-G21)^2</f>
        <v>5.0309492124053524E-10</v>
      </c>
      <c r="S21" s="3">
        <v>1</v>
      </c>
      <c r="T21">
        <f>+S21*R21</f>
        <v>5.0309492124053524E-10</v>
      </c>
      <c r="V21">
        <v>15000</v>
      </c>
      <c r="W21">
        <f t="shared" si="0"/>
        <v>7.3945611111169152E-2</v>
      </c>
    </row>
    <row r="22" spans="1:23">
      <c r="A22" s="52" t="s">
        <v>77</v>
      </c>
      <c r="B22" s="53" t="s">
        <v>32</v>
      </c>
      <c r="C22" s="52">
        <v>52001.403400000003</v>
      </c>
      <c r="D22" s="52" t="s">
        <v>70</v>
      </c>
      <c r="E22">
        <f t="shared" si="1"/>
        <v>-1934.9920801072249</v>
      </c>
      <c r="F22">
        <f t="shared" si="2"/>
        <v>-1935</v>
      </c>
      <c r="G22">
        <f t="shared" si="3"/>
        <v>2.8600000005098991E-3</v>
      </c>
      <c r="K22">
        <f t="shared" si="4"/>
        <v>2.8600000005098991E-3</v>
      </c>
      <c r="P22">
        <f t="shared" ref="P22:P47" si="6">+D$11+D$12*F22+D$13*F22^2</f>
        <v>3.2473462724570907E-3</v>
      </c>
      <c r="Q22" s="2">
        <f t="shared" si="5"/>
        <v>36982.903400000003</v>
      </c>
      <c r="R22">
        <f t="shared" ref="R22:R47" si="7">+(P22-G22)^2</f>
        <v>1.5003713439138766E-7</v>
      </c>
      <c r="S22" s="3">
        <v>1</v>
      </c>
      <c r="T22">
        <f t="shared" ref="T22:T47" si="8">+S22*R22</f>
        <v>1.5003713439138766E-7</v>
      </c>
      <c r="V22">
        <v>16000</v>
      </c>
      <c r="W22">
        <f t="shared" si="0"/>
        <v>8.2622899894275501E-2</v>
      </c>
    </row>
    <row r="23" spans="1:23">
      <c r="A23" s="52" t="s">
        <v>77</v>
      </c>
      <c r="B23" s="53" t="s">
        <v>42</v>
      </c>
      <c r="C23" s="52">
        <v>52001.583599999998</v>
      </c>
      <c r="D23" s="52" t="s">
        <v>70</v>
      </c>
      <c r="E23">
        <f t="shared" si="1"/>
        <v>-1934.4930714784318</v>
      </c>
      <c r="F23">
        <f t="shared" si="2"/>
        <v>-1934.5</v>
      </c>
      <c r="G23">
        <f t="shared" si="3"/>
        <v>2.5019999957294203E-3</v>
      </c>
      <c r="K23">
        <f t="shared" si="4"/>
        <v>2.5019999957294203E-3</v>
      </c>
      <c r="P23">
        <f t="shared" si="6"/>
        <v>3.2473078999710123E-3</v>
      </c>
      <c r="Q23" s="2">
        <f t="shared" si="5"/>
        <v>36983.083599999998</v>
      </c>
      <c r="R23">
        <f t="shared" si="7"/>
        <v>5.5548387212499396E-7</v>
      </c>
      <c r="S23" s="3">
        <v>1</v>
      </c>
      <c r="T23">
        <f t="shared" si="8"/>
        <v>5.5548387212499396E-7</v>
      </c>
    </row>
    <row r="24" spans="1:23">
      <c r="A24" s="52" t="s">
        <v>77</v>
      </c>
      <c r="B24" s="53" t="s">
        <v>32</v>
      </c>
      <c r="C24" s="52">
        <v>52022.350700000003</v>
      </c>
      <c r="D24" s="52" t="s">
        <v>70</v>
      </c>
      <c r="E24">
        <f t="shared" si="1"/>
        <v>-1876.9849577421128</v>
      </c>
      <c r="F24">
        <f t="shared" si="2"/>
        <v>-1877</v>
      </c>
      <c r="G24">
        <f t="shared" si="3"/>
        <v>5.4319999981089495E-3</v>
      </c>
      <c r="K24">
        <f t="shared" si="4"/>
        <v>5.4319999981089495E-3</v>
      </c>
      <c r="P24">
        <f t="shared" si="6"/>
        <v>3.2437323202005068E-3</v>
      </c>
      <c r="Q24" s="2">
        <f t="shared" si="5"/>
        <v>37003.850700000003</v>
      </c>
      <c r="R24">
        <f t="shared" si="7"/>
        <v>4.7885154301788081E-6</v>
      </c>
      <c r="S24" s="3">
        <v>1</v>
      </c>
      <c r="T24">
        <f t="shared" si="8"/>
        <v>4.7885154301788081E-6</v>
      </c>
    </row>
    <row r="25" spans="1:23">
      <c r="A25" s="52" t="s">
        <v>77</v>
      </c>
      <c r="B25" s="53" t="s">
        <v>42</v>
      </c>
      <c r="C25" s="52">
        <v>52022.5291</v>
      </c>
      <c r="D25" s="52" t="s">
        <v>70</v>
      </c>
      <c r="E25">
        <f t="shared" si="1"/>
        <v>-1876.4909336612163</v>
      </c>
      <c r="F25">
        <f t="shared" si="2"/>
        <v>-1876.5</v>
      </c>
      <c r="G25">
        <f t="shared" si="3"/>
        <v>3.2739999951445498E-3</v>
      </c>
      <c r="K25">
        <f t="shared" si="4"/>
        <v>3.2739999951445498E-3</v>
      </c>
      <c r="P25">
        <f t="shared" si="6"/>
        <v>3.2437085086905767E-3</v>
      </c>
      <c r="Q25" s="2">
        <f t="shared" si="5"/>
        <v>37004.0291</v>
      </c>
      <c r="R25">
        <f t="shared" si="7"/>
        <v>9.1757415159123106E-10</v>
      </c>
      <c r="S25" s="3">
        <v>1</v>
      </c>
      <c r="T25">
        <f t="shared" si="8"/>
        <v>9.1757415159123106E-10</v>
      </c>
    </row>
    <row r="26" spans="1:23">
      <c r="A26" s="52" t="s">
        <v>77</v>
      </c>
      <c r="B26" s="53" t="s">
        <v>42</v>
      </c>
      <c r="C26" s="52">
        <v>52033.358399999997</v>
      </c>
      <c r="D26" s="52" t="s">
        <v>70</v>
      </c>
      <c r="E26">
        <f t="shared" si="1"/>
        <v>-1846.5025088891275</v>
      </c>
      <c r="F26">
        <f t="shared" si="2"/>
        <v>-1846.5</v>
      </c>
      <c r="G26">
        <f t="shared" si="3"/>
        <v>-9.0600000839913264E-4</v>
      </c>
      <c r="K26">
        <f t="shared" si="4"/>
        <v>-9.0600000839913264E-4</v>
      </c>
      <c r="P26">
        <f t="shared" si="6"/>
        <v>3.2425095300460706E-3</v>
      </c>
      <c r="Q26" s="2">
        <f t="shared" si="5"/>
        <v>37014.858399999997</v>
      </c>
      <c r="R26">
        <f t="shared" si="7"/>
        <v>1.7210131390570834E-5</v>
      </c>
      <c r="S26" s="3">
        <v>1</v>
      </c>
      <c r="T26">
        <f t="shared" si="8"/>
        <v>1.7210131390570834E-5</v>
      </c>
    </row>
    <row r="27" spans="1:23">
      <c r="A27" s="52" t="s">
        <v>77</v>
      </c>
      <c r="B27" s="53" t="s">
        <v>32</v>
      </c>
      <c r="C27" s="52">
        <v>52041.4856</v>
      </c>
      <c r="D27" s="52" t="s">
        <v>70</v>
      </c>
      <c r="E27">
        <f t="shared" si="1"/>
        <v>-1823.9967212751678</v>
      </c>
      <c r="F27">
        <f t="shared" si="2"/>
        <v>-1824</v>
      </c>
      <c r="G27">
        <f t="shared" si="3"/>
        <v>1.1839999933727086E-3</v>
      </c>
      <c r="K27">
        <f t="shared" si="4"/>
        <v>1.1839999933727086E-3</v>
      </c>
      <c r="P27">
        <f t="shared" si="6"/>
        <v>3.241906850426057E-3</v>
      </c>
      <c r="Q27" s="2">
        <f t="shared" si="5"/>
        <v>37022.9856</v>
      </c>
      <c r="R27">
        <f t="shared" si="7"/>
        <v>4.2349806323071902E-6</v>
      </c>
      <c r="S27" s="3">
        <v>1</v>
      </c>
      <c r="T27">
        <f t="shared" si="8"/>
        <v>4.2349806323071902E-6</v>
      </c>
    </row>
    <row r="28" spans="1:23">
      <c r="A28" s="52" t="s">
        <v>99</v>
      </c>
      <c r="B28" s="53" t="s">
        <v>42</v>
      </c>
      <c r="C28" s="52">
        <v>52367.397900000004</v>
      </c>
      <c r="D28" s="52" t="s">
        <v>70</v>
      </c>
      <c r="E28">
        <f t="shared" si="1"/>
        <v>-921.48257069750423</v>
      </c>
      <c r="F28">
        <f t="shared" si="2"/>
        <v>-921.5</v>
      </c>
      <c r="G28">
        <f t="shared" si="3"/>
        <v>6.2939999988884665E-3</v>
      </c>
      <c r="K28">
        <f t="shared" si="4"/>
        <v>6.2939999988884665E-3</v>
      </c>
      <c r="P28">
        <f t="shared" si="6"/>
        <v>3.4273134753759452E-3</v>
      </c>
      <c r="Q28" s="2">
        <f t="shared" si="5"/>
        <v>37348.897900000004</v>
      </c>
      <c r="R28">
        <f t="shared" si="7"/>
        <v>8.2178916240883055E-6</v>
      </c>
      <c r="S28" s="3">
        <v>1</v>
      </c>
      <c r="T28">
        <f t="shared" si="8"/>
        <v>8.2178916240883055E-6</v>
      </c>
    </row>
    <row r="29" spans="1:23">
      <c r="A29" t="s">
        <v>29</v>
      </c>
      <c r="C29" s="16">
        <v>52700.160000000003</v>
      </c>
      <c r="D29" s="16" t="s">
        <v>13</v>
      </c>
      <c r="E29">
        <f t="shared" si="1"/>
        <v>0</v>
      </c>
      <c r="F29">
        <f t="shared" si="2"/>
        <v>0</v>
      </c>
      <c r="G29">
        <f t="shared" si="3"/>
        <v>0</v>
      </c>
      <c r="I29">
        <f>+G29</f>
        <v>0</v>
      </c>
      <c r="P29">
        <f t="shared" si="6"/>
        <v>4.0385944612411984E-3</v>
      </c>
      <c r="Q29" s="2">
        <f t="shared" si="5"/>
        <v>37681.660000000003</v>
      </c>
      <c r="R29">
        <f t="shared" si="7"/>
        <v>1.6310245222368085E-5</v>
      </c>
      <c r="S29" s="3">
        <v>0.1</v>
      </c>
      <c r="T29">
        <f t="shared" si="8"/>
        <v>1.6310245222368085E-6</v>
      </c>
    </row>
    <row r="30" spans="1:23">
      <c r="A30" s="12" t="s">
        <v>34</v>
      </c>
      <c r="B30" s="13" t="s">
        <v>32</v>
      </c>
      <c r="C30" s="14">
        <v>52763.356200000002</v>
      </c>
      <c r="D30" s="17"/>
      <c r="E30">
        <f t="shared" si="1"/>
        <v>175.00249227394659</v>
      </c>
      <c r="F30">
        <f t="shared" si="2"/>
        <v>175</v>
      </c>
      <c r="G30">
        <f t="shared" si="3"/>
        <v>8.9999999909196049E-4</v>
      </c>
      <c r="K30">
        <f>+G30</f>
        <v>8.9999999909196049E-4</v>
      </c>
      <c r="P30">
        <f t="shared" si="6"/>
        <v>4.2028550722448743E-3</v>
      </c>
      <c r="Q30" s="2">
        <f t="shared" si="5"/>
        <v>37744.856200000002</v>
      </c>
      <c r="R30">
        <f t="shared" si="7"/>
        <v>1.0908851634251939E-5</v>
      </c>
      <c r="S30" s="3">
        <v>1</v>
      </c>
      <c r="T30">
        <f t="shared" si="8"/>
        <v>1.0908851634251939E-5</v>
      </c>
    </row>
    <row r="31" spans="1:23">
      <c r="A31" s="10" t="s">
        <v>31</v>
      </c>
      <c r="B31" s="11" t="s">
        <v>32</v>
      </c>
      <c r="C31" s="10">
        <v>53081.505499999999</v>
      </c>
      <c r="D31" s="10">
        <v>1.4E-3</v>
      </c>
      <c r="E31">
        <f t="shared" si="1"/>
        <v>1056.0193954297117</v>
      </c>
      <c r="F31">
        <f t="shared" si="2"/>
        <v>1056</v>
      </c>
      <c r="I31" s="18">
        <v>7.0039999991422519E-3</v>
      </c>
      <c r="P31">
        <f t="shared" si="6"/>
        <v>5.2633519938812467E-3</v>
      </c>
      <c r="Q31" s="2">
        <f t="shared" si="5"/>
        <v>38063.005499999999</v>
      </c>
      <c r="R31">
        <f t="shared" si="7"/>
        <v>2.7702874211493696E-5</v>
      </c>
      <c r="S31" s="3">
        <v>0</v>
      </c>
      <c r="T31">
        <f t="shared" si="8"/>
        <v>0</v>
      </c>
    </row>
    <row r="32" spans="1:23">
      <c r="A32" s="15" t="s">
        <v>35</v>
      </c>
      <c r="B32" s="3" t="s">
        <v>32</v>
      </c>
      <c r="C32" s="16">
        <v>53445.510199999997</v>
      </c>
      <c r="D32" s="16">
        <v>8.9999999999999998E-4</v>
      </c>
      <c r="E32">
        <f t="shared" si="1"/>
        <v>2064.0187640536378</v>
      </c>
      <c r="F32">
        <f t="shared" si="2"/>
        <v>2064</v>
      </c>
      <c r="G32">
        <f t="shared" ref="G32:G47" si="9">+C32-(C$7+F32*C$8)</f>
        <v>6.7759999947156757E-3</v>
      </c>
      <c r="K32">
        <f>G32</f>
        <v>6.7759999947156757E-3</v>
      </c>
      <c r="P32">
        <f t="shared" si="6"/>
        <v>6.9547539986930997E-3</v>
      </c>
      <c r="Q32" s="2">
        <f t="shared" si="5"/>
        <v>38427.010199999997</v>
      </c>
      <c r="R32">
        <f t="shared" si="7"/>
        <v>3.1952993937960918E-8</v>
      </c>
      <c r="S32" s="3">
        <v>1</v>
      </c>
      <c r="T32">
        <f t="shared" si="8"/>
        <v>3.1952993937960918E-8</v>
      </c>
    </row>
    <row r="33" spans="1:20">
      <c r="A33" s="14" t="s">
        <v>43</v>
      </c>
      <c r="B33" s="20"/>
      <c r="C33" s="16">
        <v>53815.476900000001</v>
      </c>
      <c r="D33" s="16">
        <v>4.0000000000000002E-4</v>
      </c>
      <c r="E33">
        <f t="shared" si="1"/>
        <v>3088.52806300468</v>
      </c>
      <c r="F33">
        <f t="shared" si="2"/>
        <v>3088.5</v>
      </c>
      <c r="G33">
        <f t="shared" si="9"/>
        <v>1.0133999996469356E-2</v>
      </c>
      <c r="J33">
        <f>G33</f>
        <v>1.0133999996469356E-2</v>
      </c>
      <c r="P33">
        <f t="shared" si="6"/>
        <v>9.1966058508797053E-3</v>
      </c>
      <c r="Q33" s="2">
        <f t="shared" si="5"/>
        <v>38796.976900000001</v>
      </c>
      <c r="R33">
        <f t="shared" si="7"/>
        <v>8.7870778418575149E-7</v>
      </c>
      <c r="S33" s="3">
        <v>1</v>
      </c>
      <c r="T33">
        <f t="shared" si="8"/>
        <v>8.7870778418575149E-7</v>
      </c>
    </row>
    <row r="34" spans="1:20">
      <c r="A34" s="52" t="s">
        <v>256</v>
      </c>
      <c r="B34" s="53" t="s">
        <v>32</v>
      </c>
      <c r="C34" s="52">
        <v>53900.88</v>
      </c>
      <c r="D34" s="52" t="s">
        <v>70</v>
      </c>
      <c r="E34">
        <f t="shared" si="1"/>
        <v>3325.0257534974744</v>
      </c>
      <c r="F34">
        <f t="shared" si="2"/>
        <v>3325</v>
      </c>
      <c r="G34">
        <f t="shared" si="9"/>
        <v>9.2999999906169251E-3</v>
      </c>
      <c r="I34">
        <f>+G34</f>
        <v>9.2999999906169251E-3</v>
      </c>
      <c r="P34">
        <f t="shared" si="6"/>
        <v>9.788994758826542E-3</v>
      </c>
      <c r="Q34" s="2">
        <f t="shared" si="5"/>
        <v>38882.379999999997</v>
      </c>
      <c r="R34">
        <f t="shared" si="7"/>
        <v>2.3911588333637704E-7</v>
      </c>
      <c r="S34" s="3">
        <v>0.1</v>
      </c>
      <c r="T34">
        <f t="shared" si="8"/>
        <v>2.3911588333637705E-8</v>
      </c>
    </row>
    <row r="35" spans="1:20">
      <c r="A35" s="19" t="s">
        <v>41</v>
      </c>
      <c r="B35" s="3" t="s">
        <v>42</v>
      </c>
      <c r="C35" s="16">
        <v>53936.453099999999</v>
      </c>
      <c r="D35" s="16">
        <v>8.0000000000000004E-4</v>
      </c>
      <c r="E35">
        <f t="shared" si="1"/>
        <v>3423.5345429169447</v>
      </c>
      <c r="F35">
        <f t="shared" si="2"/>
        <v>3423.5</v>
      </c>
      <c r="G35">
        <f t="shared" si="9"/>
        <v>1.2473999995563645E-2</v>
      </c>
      <c r="K35">
        <f>G35</f>
        <v>1.2473999995563645E-2</v>
      </c>
      <c r="P35">
        <f t="shared" si="6"/>
        <v>1.0044003168848632E-2</v>
      </c>
      <c r="Q35" s="2">
        <f t="shared" si="5"/>
        <v>38917.953099999999</v>
      </c>
      <c r="R35">
        <f t="shared" si="7"/>
        <v>5.9048845778450317E-6</v>
      </c>
      <c r="S35" s="3">
        <v>1</v>
      </c>
      <c r="T35">
        <f t="shared" si="8"/>
        <v>5.9048845778450317E-6</v>
      </c>
    </row>
    <row r="36" spans="1:20">
      <c r="A36" s="19" t="s">
        <v>41</v>
      </c>
      <c r="B36" s="3" t="s">
        <v>42</v>
      </c>
      <c r="C36" s="16">
        <v>54174.430099999998</v>
      </c>
      <c r="D36" s="16">
        <v>1.1000000000000001E-3</v>
      </c>
      <c r="E36">
        <f t="shared" si="1"/>
        <v>4082.5388517816832</v>
      </c>
      <c r="F36">
        <f t="shared" si="2"/>
        <v>4082.5</v>
      </c>
      <c r="G36">
        <f t="shared" si="9"/>
        <v>1.4029999991180375E-2</v>
      </c>
      <c r="K36">
        <f>G36</f>
        <v>1.4029999991180375E-2</v>
      </c>
      <c r="P36">
        <f t="shared" si="6"/>
        <v>1.1875422976538028E-2</v>
      </c>
      <c r="Q36" s="2">
        <f t="shared" si="5"/>
        <v>39155.930099999998</v>
      </c>
      <c r="R36">
        <f t="shared" si="7"/>
        <v>4.6422021120251309E-6</v>
      </c>
      <c r="S36" s="3">
        <v>1</v>
      </c>
      <c r="T36">
        <f t="shared" si="8"/>
        <v>4.6422021120251309E-6</v>
      </c>
    </row>
    <row r="37" spans="1:20">
      <c r="A37" s="14" t="s">
        <v>43</v>
      </c>
      <c r="B37" s="20"/>
      <c r="C37" s="16">
        <v>54186.5265</v>
      </c>
      <c r="D37" s="16">
        <v>8.9999999999999998E-4</v>
      </c>
      <c r="E37">
        <f t="shared" si="1"/>
        <v>4116.0361213571168</v>
      </c>
      <c r="F37">
        <f t="shared" si="2"/>
        <v>4116</v>
      </c>
      <c r="G37">
        <f t="shared" si="9"/>
        <v>1.3043999999354128E-2</v>
      </c>
      <c r="J37">
        <f>G37</f>
        <v>1.3043999999354128E-2</v>
      </c>
      <c r="P37">
        <f t="shared" si="6"/>
        <v>1.1974346542648475E-2</v>
      </c>
      <c r="Q37" s="2">
        <f t="shared" si="5"/>
        <v>39168.0265</v>
      </c>
      <c r="R37">
        <f t="shared" si="7"/>
        <v>1.1441585174423517E-6</v>
      </c>
      <c r="S37" s="3">
        <v>1</v>
      </c>
      <c r="T37">
        <f t="shared" si="8"/>
        <v>1.1441585174423517E-6</v>
      </c>
    </row>
    <row r="38" spans="1:20">
      <c r="A38" s="14" t="s">
        <v>43</v>
      </c>
      <c r="B38" s="20"/>
      <c r="C38" s="16">
        <v>54201.513599999998</v>
      </c>
      <c r="D38" s="16">
        <v>1.1999999999999999E-3</v>
      </c>
      <c r="E38">
        <f t="shared" si="1"/>
        <v>4157.5382979430296</v>
      </c>
      <c r="F38">
        <f t="shared" si="2"/>
        <v>4157.5</v>
      </c>
      <c r="G38">
        <f t="shared" si="9"/>
        <v>1.38299999962328E-2</v>
      </c>
      <c r="J38">
        <f>G38</f>
        <v>1.38299999962328E-2</v>
      </c>
      <c r="P38">
        <f t="shared" si="6"/>
        <v>1.209767504414596E-2</v>
      </c>
      <c r="Q38" s="2">
        <f t="shared" si="5"/>
        <v>39183.013599999998</v>
      </c>
      <c r="R38">
        <f t="shared" si="7"/>
        <v>3.0009497396226734E-6</v>
      </c>
      <c r="S38" s="3">
        <v>1</v>
      </c>
      <c r="T38">
        <f t="shared" si="8"/>
        <v>3.0009497396226734E-6</v>
      </c>
    </row>
    <row r="39" spans="1:20">
      <c r="A39" s="14" t="s">
        <v>43</v>
      </c>
      <c r="B39" s="34"/>
      <c r="C39" s="14">
        <v>54213.431799999998</v>
      </c>
      <c r="D39" s="14">
        <v>2.7000000000000001E-3</v>
      </c>
      <c r="E39">
        <f t="shared" si="1"/>
        <v>4190.5420972762076</v>
      </c>
      <c r="F39">
        <f t="shared" si="2"/>
        <v>4190.5</v>
      </c>
      <c r="G39">
        <f t="shared" si="9"/>
        <v>1.520199999504257E-2</v>
      </c>
      <c r="J39">
        <f>G39</f>
        <v>1.520199999504257E-2</v>
      </c>
      <c r="P39">
        <f t="shared" si="6"/>
        <v>1.2196360700772634E-2</v>
      </c>
      <c r="Q39" s="2">
        <f t="shared" si="5"/>
        <v>39194.931799999998</v>
      </c>
      <c r="R39">
        <f t="shared" si="7"/>
        <v>9.0338675672594773E-6</v>
      </c>
      <c r="S39" s="3">
        <v>1</v>
      </c>
      <c r="T39">
        <f t="shared" si="8"/>
        <v>9.0338675672594773E-6</v>
      </c>
    </row>
    <row r="40" spans="1:20">
      <c r="A40" s="14" t="s">
        <v>45</v>
      </c>
      <c r="B40" s="13" t="s">
        <v>32</v>
      </c>
      <c r="C40" s="14">
        <v>54570.395400000001</v>
      </c>
      <c r="D40" s="14">
        <v>1E-3</v>
      </c>
      <c r="E40">
        <f t="shared" si="1"/>
        <v>5179.0432991060979</v>
      </c>
      <c r="F40">
        <f t="shared" si="2"/>
        <v>5179</v>
      </c>
      <c r="G40">
        <f t="shared" si="9"/>
        <v>1.5635999996447936E-2</v>
      </c>
      <c r="J40">
        <f>G40</f>
        <v>1.5635999996447936E-2</v>
      </c>
      <c r="P40">
        <f t="shared" si="6"/>
        <v>1.5405944441502721E-2</v>
      </c>
      <c r="Q40" s="2">
        <f t="shared" si="5"/>
        <v>39551.895400000001</v>
      </c>
      <c r="R40">
        <f t="shared" si="7"/>
        <v>5.2925558361150667E-8</v>
      </c>
      <c r="S40" s="3">
        <v>1</v>
      </c>
      <c r="T40">
        <f t="shared" si="8"/>
        <v>5.2925558361150667E-8</v>
      </c>
    </row>
    <row r="41" spans="1:20">
      <c r="A41" s="14" t="s">
        <v>45</v>
      </c>
      <c r="B41" s="13" t="s">
        <v>32</v>
      </c>
      <c r="C41" s="14">
        <v>54570.577599999997</v>
      </c>
      <c r="D41" s="14">
        <v>1.9E-3</v>
      </c>
      <c r="E41">
        <f t="shared" si="1"/>
        <v>5179.5478461214498</v>
      </c>
      <c r="F41">
        <f t="shared" si="2"/>
        <v>5179.5</v>
      </c>
      <c r="G41">
        <f t="shared" si="9"/>
        <v>1.7277999992074911E-2</v>
      </c>
      <c r="J41">
        <f>G41</f>
        <v>1.7277999992074911E-2</v>
      </c>
      <c r="P41">
        <f t="shared" si="6"/>
        <v>1.5407692048056634E-2</v>
      </c>
      <c r="Q41" s="2">
        <f t="shared" si="5"/>
        <v>39552.077599999997</v>
      </c>
      <c r="R41">
        <f t="shared" si="7"/>
        <v>3.498051805457873E-6</v>
      </c>
      <c r="S41" s="3">
        <v>1</v>
      </c>
      <c r="T41">
        <f t="shared" si="8"/>
        <v>3.498051805457873E-6</v>
      </c>
    </row>
    <row r="42" spans="1:20">
      <c r="A42" s="52" t="s">
        <v>155</v>
      </c>
      <c r="B42" s="53" t="s">
        <v>32</v>
      </c>
      <c r="C42" s="52">
        <v>54631.065300000002</v>
      </c>
      <c r="D42" s="52" t="s">
        <v>70</v>
      </c>
      <c r="E42">
        <f t="shared" si="1"/>
        <v>5347.0499784002886</v>
      </c>
      <c r="F42">
        <f t="shared" si="2"/>
        <v>5347</v>
      </c>
      <c r="G42">
        <f t="shared" si="9"/>
        <v>1.8047999998088926E-2</v>
      </c>
      <c r="K42">
        <f>+G42</f>
        <v>1.8047999998088926E-2</v>
      </c>
      <c r="P42">
        <f t="shared" si="6"/>
        <v>1.6000204827562176E-2</v>
      </c>
      <c r="Q42" s="2">
        <f t="shared" si="5"/>
        <v>39612.565300000002</v>
      </c>
      <c r="R42">
        <f t="shared" si="7"/>
        <v>4.1934650604326835E-6</v>
      </c>
      <c r="S42" s="3">
        <v>1</v>
      </c>
      <c r="T42">
        <f t="shared" si="8"/>
        <v>4.1934650604326835E-6</v>
      </c>
    </row>
    <row r="43" spans="1:20">
      <c r="A43" s="35" t="s">
        <v>48</v>
      </c>
      <c r="B43" s="36"/>
      <c r="C43" s="14">
        <v>54888.903599999998</v>
      </c>
      <c r="D43" s="14">
        <v>2.9999999999999997E-4</v>
      </c>
      <c r="E43">
        <f t="shared" si="1"/>
        <v>6061.054065729556</v>
      </c>
      <c r="F43">
        <f t="shared" si="2"/>
        <v>6061</v>
      </c>
      <c r="G43">
        <f t="shared" si="9"/>
        <v>1.9523999995726626E-2</v>
      </c>
      <c r="K43">
        <f>G43</f>
        <v>1.9523999995726626E-2</v>
      </c>
      <c r="P43">
        <f t="shared" si="6"/>
        <v>1.8683910530512743E-2</v>
      </c>
      <c r="Q43" s="2">
        <f t="shared" si="5"/>
        <v>39870.403599999998</v>
      </c>
      <c r="R43">
        <f t="shared" si="7"/>
        <v>7.0575030956334873E-7</v>
      </c>
      <c r="S43" s="3">
        <v>1</v>
      </c>
      <c r="T43">
        <f t="shared" si="8"/>
        <v>7.0575030956334873E-7</v>
      </c>
    </row>
    <row r="44" spans="1:20">
      <c r="A44" s="37" t="s">
        <v>52</v>
      </c>
      <c r="B44" s="38" t="s">
        <v>32</v>
      </c>
      <c r="C44" s="37">
        <v>54933.502399999998</v>
      </c>
      <c r="D44" s="37">
        <v>4.0000000000000002E-4</v>
      </c>
      <c r="E44">
        <f t="shared" si="1"/>
        <v>6184.5567629238085</v>
      </c>
      <c r="F44">
        <f t="shared" si="2"/>
        <v>6184.5</v>
      </c>
      <c r="G44">
        <f t="shared" si="9"/>
        <v>2.0497999990766402E-2</v>
      </c>
      <c r="J44">
        <f>G44</f>
        <v>2.0497999990766402E-2</v>
      </c>
      <c r="P44">
        <f t="shared" si="6"/>
        <v>1.9174075477018729E-2</v>
      </c>
      <c r="Q44" s="2">
        <f t="shared" si="5"/>
        <v>39915.002399999998</v>
      </c>
      <c r="R44">
        <f t="shared" si="7"/>
        <v>1.7527761181020136E-6</v>
      </c>
      <c r="S44" s="3">
        <v>1</v>
      </c>
      <c r="T44">
        <f t="shared" si="8"/>
        <v>1.7527761181020136E-6</v>
      </c>
    </row>
    <row r="45" spans="1:20">
      <c r="A45" s="14" t="s">
        <v>46</v>
      </c>
      <c r="B45" s="34"/>
      <c r="C45" s="14">
        <v>54961.8511</v>
      </c>
      <c r="D45" s="14">
        <v>5.0000000000000001E-4</v>
      </c>
      <c r="E45">
        <f t="shared" si="1"/>
        <v>6263.0597924212616</v>
      </c>
      <c r="F45">
        <f t="shared" si="2"/>
        <v>6263</v>
      </c>
      <c r="G45">
        <f t="shared" si="9"/>
        <v>2.1591999997326639E-2</v>
      </c>
      <c r="K45">
        <f>G45</f>
        <v>2.1591999997326639E-2</v>
      </c>
      <c r="P45">
        <f t="shared" si="6"/>
        <v>1.9489618732106213E-2</v>
      </c>
      <c r="Q45" s="2">
        <f t="shared" si="5"/>
        <v>39943.3511</v>
      </c>
      <c r="R45">
        <f t="shared" si="7"/>
        <v>4.420006984349839E-6</v>
      </c>
      <c r="S45" s="3">
        <v>1</v>
      </c>
      <c r="T45">
        <f t="shared" si="8"/>
        <v>4.420006984349839E-6</v>
      </c>
    </row>
    <row r="46" spans="1:20">
      <c r="A46" s="37" t="s">
        <v>52</v>
      </c>
      <c r="B46" s="38" t="s">
        <v>32</v>
      </c>
      <c r="C46" s="37">
        <v>54968.530500000001</v>
      </c>
      <c r="D46" s="37">
        <v>4.0000000000000002E-4</v>
      </c>
      <c r="E46">
        <f t="shared" si="1"/>
        <v>6281.5563420064391</v>
      </c>
      <c r="F46">
        <f t="shared" si="2"/>
        <v>6281.5</v>
      </c>
      <c r="G46">
        <f t="shared" si="9"/>
        <v>2.0345999997516628E-2</v>
      </c>
      <c r="J46">
        <f>G46</f>
        <v>2.0345999997516628E-2</v>
      </c>
      <c r="P46">
        <f t="shared" si="6"/>
        <v>1.956443294074605E-2</v>
      </c>
      <c r="Q46" s="2">
        <f t="shared" si="5"/>
        <v>39950.030500000001</v>
      </c>
      <c r="R46">
        <f t="shared" si="7"/>
        <v>6.1084706422902425E-7</v>
      </c>
      <c r="S46" s="3">
        <v>1</v>
      </c>
      <c r="T46">
        <f t="shared" si="8"/>
        <v>6.1084706422902425E-7</v>
      </c>
    </row>
    <row r="47" spans="1:20">
      <c r="A47" s="37" t="s">
        <v>47</v>
      </c>
      <c r="B47" s="38" t="s">
        <v>42</v>
      </c>
      <c r="C47" s="37">
        <v>55015.4787</v>
      </c>
      <c r="D47" s="37">
        <v>4.0000000000000002E-4</v>
      </c>
      <c r="E47">
        <f t="shared" si="1"/>
        <v>6411.5649818894653</v>
      </c>
      <c r="F47">
        <f t="shared" si="2"/>
        <v>6411.5</v>
      </c>
      <c r="G47">
        <f t="shared" si="9"/>
        <v>2.3465999998734333E-2</v>
      </c>
      <c r="K47">
        <f>G47</f>
        <v>2.3465999998734333E-2</v>
      </c>
      <c r="P47">
        <f t="shared" si="6"/>
        <v>2.0095000952459419E-2</v>
      </c>
      <c r="Q47" s="2">
        <f t="shared" si="5"/>
        <v>39996.9787</v>
      </c>
      <c r="R47">
        <f t="shared" si="7"/>
        <v>1.136363456998638E-5</v>
      </c>
      <c r="S47" s="3">
        <v>1</v>
      </c>
      <c r="T47">
        <f t="shared" si="8"/>
        <v>1.136363456998638E-5</v>
      </c>
    </row>
    <row r="48" spans="1:20">
      <c r="A48" s="37" t="s">
        <v>53</v>
      </c>
      <c r="B48" s="38" t="s">
        <v>32</v>
      </c>
      <c r="C48" s="37">
        <v>55315.385300000002</v>
      </c>
      <c r="D48" s="37">
        <v>3.0999999999999999E-3</v>
      </c>
      <c r="E48">
        <f t="shared" ref="E48:E75" si="10">+(C48-C$7)/C$8</f>
        <v>7242.0643228214713</v>
      </c>
      <c r="F48">
        <f t="shared" ref="F48:F77" si="11">ROUND(2*E48,0)/2</f>
        <v>7242</v>
      </c>
      <c r="G48">
        <f t="shared" ref="G48:G75" si="12">+C48-(C$7+F48*C$8)</f>
        <v>2.3227999998198356E-2</v>
      </c>
      <c r="J48">
        <f>G48</f>
        <v>2.3227999998198356E-2</v>
      </c>
      <c r="O48">
        <f t="shared" ref="O48:O75" ca="1" si="13">+C$11+C$12*$F48</f>
        <v>-4.4691141450482613E-3</v>
      </c>
      <c r="P48">
        <f t="shared" ref="P48:P75" si="14">+D$11+D$12*F48+D$13*F48^2</f>
        <v>2.3684776728637107E-2</v>
      </c>
      <c r="Q48" s="2">
        <f t="shared" ref="Q48:Q75" si="15">+C48-15018.5</f>
        <v>40296.885300000002</v>
      </c>
      <c r="R48">
        <f t="shared" ref="R48:R75" si="16">+(P48-G48)^2</f>
        <v>2.0864498147031463E-7</v>
      </c>
      <c r="S48" s="3">
        <v>1</v>
      </c>
      <c r="T48">
        <f t="shared" ref="T48:T75" si="17">+S48*R48</f>
        <v>2.0864498147031463E-7</v>
      </c>
    </row>
    <row r="49" spans="1:20">
      <c r="A49" s="37" t="s">
        <v>53</v>
      </c>
      <c r="B49" s="38" t="s">
        <v>32</v>
      </c>
      <c r="C49" s="37">
        <v>55315.565999999999</v>
      </c>
      <c r="D49" s="37">
        <v>6.0000000000000001E-3</v>
      </c>
      <c r="E49">
        <f t="shared" si="10"/>
        <v>7242.5647160469089</v>
      </c>
      <c r="F49">
        <f t="shared" si="11"/>
        <v>7242.5</v>
      </c>
      <c r="G49">
        <f t="shared" si="12"/>
        <v>2.3369999995338731E-2</v>
      </c>
      <c r="J49">
        <f>G49</f>
        <v>2.3369999995338731E-2</v>
      </c>
      <c r="O49">
        <f t="shared" ca="1" si="13"/>
        <v>-4.4628534063404779E-3</v>
      </c>
      <c r="P49">
        <f t="shared" si="14"/>
        <v>2.3687042254049537E-2</v>
      </c>
      <c r="Q49" s="2">
        <f t="shared" si="15"/>
        <v>40297.065999999999</v>
      </c>
      <c r="R49">
        <f t="shared" si="16"/>
        <v>1.0051579380844982E-7</v>
      </c>
      <c r="S49" s="3">
        <v>1</v>
      </c>
      <c r="T49">
        <f t="shared" si="17"/>
        <v>1.0051579380844982E-7</v>
      </c>
    </row>
    <row r="50" spans="1:20">
      <c r="A50" s="12" t="s">
        <v>51</v>
      </c>
      <c r="B50" s="13" t="s">
        <v>32</v>
      </c>
      <c r="C50" s="14">
        <v>55398.441400000003</v>
      </c>
      <c r="D50" s="14">
        <v>8.0000000000000004E-4</v>
      </c>
      <c r="E50">
        <f t="shared" si="10"/>
        <v>7472.0627166893737</v>
      </c>
      <c r="F50">
        <f t="shared" si="11"/>
        <v>7472</v>
      </c>
      <c r="G50">
        <f t="shared" si="12"/>
        <v>2.2647999998298474E-2</v>
      </c>
      <c r="K50">
        <f>G50</f>
        <v>2.2647999998298474E-2</v>
      </c>
      <c r="O50">
        <f t="shared" ca="1" si="13"/>
        <v>-1.5891743394630953E-3</v>
      </c>
      <c r="P50">
        <f t="shared" si="14"/>
        <v>2.4740170161906588E-2</v>
      </c>
      <c r="Q50" s="2">
        <f t="shared" si="15"/>
        <v>40379.941400000003</v>
      </c>
      <c r="R50">
        <f t="shared" si="16"/>
        <v>4.3771759934920023E-6</v>
      </c>
      <c r="S50" s="3">
        <v>1</v>
      </c>
      <c r="T50">
        <f t="shared" si="17"/>
        <v>4.3771759934920023E-6</v>
      </c>
    </row>
    <row r="51" spans="1:20">
      <c r="A51" s="65" t="s">
        <v>56</v>
      </c>
      <c r="B51" s="66" t="s">
        <v>32</v>
      </c>
      <c r="C51" s="67">
        <v>55625.588969999997</v>
      </c>
      <c r="D51" s="67">
        <v>2.0000000000000001E-4</v>
      </c>
      <c r="E51">
        <f t="shared" si="10"/>
        <v>8101.0782407868764</v>
      </c>
      <c r="F51">
        <f t="shared" si="11"/>
        <v>8101</v>
      </c>
      <c r="G51">
        <f t="shared" si="12"/>
        <v>2.8253999989829026E-2</v>
      </c>
      <c r="K51">
        <f>G51</f>
        <v>2.8253999989829026E-2</v>
      </c>
      <c r="O51">
        <f t="shared" ca="1" si="13"/>
        <v>6.2868349549415753E-3</v>
      </c>
      <c r="P51">
        <f t="shared" si="14"/>
        <v>2.7762087554469381E-2</v>
      </c>
      <c r="Q51" s="2">
        <f t="shared" si="15"/>
        <v>40607.088969999997</v>
      </c>
      <c r="R51">
        <f t="shared" si="16"/>
        <v>2.419778440614567E-7</v>
      </c>
      <c r="S51" s="3">
        <v>1</v>
      </c>
      <c r="T51">
        <f t="shared" si="17"/>
        <v>2.419778440614567E-7</v>
      </c>
    </row>
    <row r="52" spans="1:20">
      <c r="A52" s="37" t="s">
        <v>54</v>
      </c>
      <c r="B52" s="38" t="s">
        <v>42</v>
      </c>
      <c r="C52" s="37">
        <v>55644.906300000002</v>
      </c>
      <c r="D52" s="37">
        <v>4.0000000000000002E-4</v>
      </c>
      <c r="E52">
        <f t="shared" si="10"/>
        <v>8154.5716611836615</v>
      </c>
      <c r="F52">
        <f t="shared" si="11"/>
        <v>8154.5</v>
      </c>
      <c r="G52">
        <f t="shared" si="12"/>
        <v>2.5878000000375323E-2</v>
      </c>
      <c r="K52">
        <f>G52</f>
        <v>2.5878000000375323E-2</v>
      </c>
      <c r="O52">
        <f t="shared" ca="1" si="13"/>
        <v>6.9567339966755265E-3</v>
      </c>
      <c r="P52">
        <f t="shared" si="14"/>
        <v>2.8028285508919989E-2</v>
      </c>
      <c r="Q52" s="2">
        <f t="shared" si="15"/>
        <v>40626.406300000002</v>
      </c>
      <c r="R52">
        <f t="shared" si="16"/>
        <v>4.623727768257195E-6</v>
      </c>
      <c r="S52" s="3">
        <v>1</v>
      </c>
      <c r="T52">
        <f t="shared" si="17"/>
        <v>4.623727768257195E-6</v>
      </c>
    </row>
    <row r="53" spans="1:20">
      <c r="A53" s="65" t="s">
        <v>56</v>
      </c>
      <c r="B53" s="66" t="s">
        <v>42</v>
      </c>
      <c r="C53" s="67">
        <v>55649.601949999997</v>
      </c>
      <c r="D53" s="67">
        <v>2.0000000000000001E-4</v>
      </c>
      <c r="E53">
        <f t="shared" si="10"/>
        <v>8167.5748236023692</v>
      </c>
      <c r="F53">
        <f t="shared" si="11"/>
        <v>8167.5</v>
      </c>
      <c r="G53">
        <f t="shared" si="12"/>
        <v>2.7019999994081445E-2</v>
      </c>
      <c r="K53">
        <f>G53</f>
        <v>2.7019999994081445E-2</v>
      </c>
      <c r="O53">
        <f t="shared" ca="1" si="13"/>
        <v>7.1195132030781594E-3</v>
      </c>
      <c r="P53">
        <f t="shared" si="14"/>
        <v>2.8093186157880139E-2</v>
      </c>
      <c r="Q53" s="2">
        <f t="shared" si="15"/>
        <v>40631.101949999997</v>
      </c>
      <c r="R53">
        <f t="shared" si="16"/>
        <v>1.1517285421689565E-6</v>
      </c>
      <c r="S53" s="3">
        <v>1</v>
      </c>
      <c r="T53">
        <f t="shared" si="17"/>
        <v>1.1517285421689565E-6</v>
      </c>
    </row>
    <row r="54" spans="1:20">
      <c r="A54" s="37" t="s">
        <v>55</v>
      </c>
      <c r="B54" s="38" t="s">
        <v>32</v>
      </c>
      <c r="C54" s="37">
        <v>55654.477700000003</v>
      </c>
      <c r="D54" s="37">
        <v>2.0999999999999999E-3</v>
      </c>
      <c r="E54">
        <f t="shared" si="10"/>
        <v>8181.0767177305897</v>
      </c>
      <c r="F54">
        <f t="shared" si="11"/>
        <v>8181</v>
      </c>
      <c r="G54">
        <f t="shared" si="12"/>
        <v>2.7704000000085216E-2</v>
      </c>
      <c r="J54">
        <f>G54</f>
        <v>2.7704000000085216E-2</v>
      </c>
      <c r="O54">
        <f t="shared" ca="1" si="13"/>
        <v>7.2885531481885896E-3</v>
      </c>
      <c r="P54">
        <f t="shared" si="14"/>
        <v>2.816067279925364E-2</v>
      </c>
      <c r="Q54" s="2">
        <f t="shared" si="15"/>
        <v>40635.977700000003</v>
      </c>
      <c r="R54">
        <f t="shared" si="16"/>
        <v>2.0855004550032384E-7</v>
      </c>
      <c r="S54" s="3">
        <v>1</v>
      </c>
      <c r="T54">
        <f t="shared" si="17"/>
        <v>2.0855004550032384E-7</v>
      </c>
    </row>
    <row r="55" spans="1:20">
      <c r="A55" s="37" t="s">
        <v>55</v>
      </c>
      <c r="B55" s="38" t="s">
        <v>32</v>
      </c>
      <c r="C55" s="37">
        <v>55671.451200000003</v>
      </c>
      <c r="D55" s="37">
        <v>6.9999999999999999E-4</v>
      </c>
      <c r="E55">
        <f t="shared" si="10"/>
        <v>8228.0796198451462</v>
      </c>
      <c r="F55">
        <f t="shared" si="11"/>
        <v>8228</v>
      </c>
      <c r="G55">
        <f t="shared" si="12"/>
        <v>2.8751999998348765E-2</v>
      </c>
      <c r="J55">
        <f>G55</f>
        <v>2.8751999998348765E-2</v>
      </c>
      <c r="O55">
        <f t="shared" ca="1" si="13"/>
        <v>7.8770625867212174E-3</v>
      </c>
      <c r="P55">
        <f t="shared" si="14"/>
        <v>2.8396340155851109E-2</v>
      </c>
      <c r="Q55" s="2">
        <f t="shared" si="15"/>
        <v>40652.951200000003</v>
      </c>
      <c r="R55">
        <f t="shared" si="16"/>
        <v>1.264939235654576E-7</v>
      </c>
      <c r="S55" s="3">
        <v>1</v>
      </c>
      <c r="T55">
        <f t="shared" si="17"/>
        <v>1.264939235654576E-7</v>
      </c>
    </row>
    <row r="56" spans="1:20">
      <c r="A56" s="65" t="s">
        <v>56</v>
      </c>
      <c r="B56" s="66" t="s">
        <v>32</v>
      </c>
      <c r="C56" s="67">
        <v>55672.533799999997</v>
      </c>
      <c r="D56" s="67">
        <v>2.0000000000000001E-4</v>
      </c>
      <c r="E56">
        <f t="shared" si="10"/>
        <v>8231.077548488558</v>
      </c>
      <c r="F56">
        <f t="shared" si="11"/>
        <v>8231</v>
      </c>
      <c r="G56">
        <f t="shared" si="12"/>
        <v>2.8003999992506579E-2</v>
      </c>
      <c r="K56">
        <f>G56</f>
        <v>2.8003999992506579E-2</v>
      </c>
      <c r="O56">
        <f t="shared" ca="1" si="13"/>
        <v>7.9146270189679874E-3</v>
      </c>
      <c r="P56">
        <f t="shared" si="14"/>
        <v>2.8411420410777669E-2</v>
      </c>
      <c r="Q56" s="2">
        <f t="shared" si="15"/>
        <v>40654.033799999997</v>
      </c>
      <c r="R56">
        <f t="shared" si="16"/>
        <v>1.6599139722418991E-7</v>
      </c>
      <c r="S56" s="3">
        <v>1</v>
      </c>
      <c r="T56">
        <f t="shared" si="17"/>
        <v>1.6599139722418991E-7</v>
      </c>
    </row>
    <row r="57" spans="1:20">
      <c r="A57" s="37" t="s">
        <v>54</v>
      </c>
      <c r="B57" s="38" t="s">
        <v>42</v>
      </c>
      <c r="C57" s="37">
        <v>55695.825100000002</v>
      </c>
      <c r="D57" s="37">
        <v>2.9999999999999997E-4</v>
      </c>
      <c r="E57">
        <f t="shared" si="10"/>
        <v>8295.5756598987537</v>
      </c>
      <c r="F57">
        <f t="shared" si="11"/>
        <v>8295.5</v>
      </c>
      <c r="G57">
        <f t="shared" si="12"/>
        <v>2.7322000001731794E-2</v>
      </c>
      <c r="K57">
        <f>G57</f>
        <v>2.7322000001731794E-2</v>
      </c>
      <c r="O57">
        <f t="shared" ca="1" si="13"/>
        <v>8.7222623122733961E-3</v>
      </c>
      <c r="P57">
        <f t="shared" si="14"/>
        <v>2.8736738906352283E-2</v>
      </c>
      <c r="Q57" s="2">
        <f t="shared" si="15"/>
        <v>40677.325100000002</v>
      </c>
      <c r="R57">
        <f t="shared" si="16"/>
        <v>2.0014861682467793E-6</v>
      </c>
      <c r="S57" s="3">
        <v>1</v>
      </c>
      <c r="T57">
        <f t="shared" si="17"/>
        <v>2.0014861682467793E-6</v>
      </c>
    </row>
    <row r="58" spans="1:20">
      <c r="A58" s="65" t="s">
        <v>56</v>
      </c>
      <c r="B58" s="66" t="s">
        <v>42</v>
      </c>
      <c r="C58" s="67">
        <v>56008.557050000003</v>
      </c>
      <c r="D58" s="67">
        <v>2.0000000000000001E-4</v>
      </c>
      <c r="E58">
        <f t="shared" si="10"/>
        <v>9161.5908738466296</v>
      </c>
      <c r="F58">
        <f t="shared" si="11"/>
        <v>9161.5</v>
      </c>
      <c r="G58">
        <f t="shared" si="12"/>
        <v>3.2815999999002088E-2</v>
      </c>
      <c r="K58">
        <f>G58</f>
        <v>3.2815999999002088E-2</v>
      </c>
      <c r="O58">
        <f t="shared" ca="1" si="13"/>
        <v>1.9565861754172353E-2</v>
      </c>
      <c r="P58">
        <f t="shared" si="14"/>
        <v>3.3306881444586101E-2</v>
      </c>
      <c r="Q58" s="2">
        <f t="shared" si="15"/>
        <v>40990.057050000003</v>
      </c>
      <c r="R58">
        <f t="shared" si="16"/>
        <v>2.4096459361865004E-7</v>
      </c>
      <c r="S58" s="3">
        <v>1</v>
      </c>
      <c r="T58">
        <f t="shared" si="17"/>
        <v>2.4096459361865004E-7</v>
      </c>
    </row>
    <row r="59" spans="1:20">
      <c r="A59" s="65" t="s">
        <v>57</v>
      </c>
      <c r="B59" s="66" t="s">
        <v>32</v>
      </c>
      <c r="C59" s="67">
        <v>56009.458500000001</v>
      </c>
      <c r="D59" s="67">
        <v>2.7000000000000001E-3</v>
      </c>
      <c r="E59">
        <f t="shared" si="10"/>
        <v>9164.0871631276295</v>
      </c>
      <c r="F59">
        <f t="shared" si="11"/>
        <v>9164</v>
      </c>
      <c r="G59">
        <f t="shared" si="12"/>
        <v>3.1475999996473547E-2</v>
      </c>
      <c r="J59">
        <f>G59</f>
        <v>3.1475999996473547E-2</v>
      </c>
      <c r="O59">
        <f t="shared" ca="1" si="13"/>
        <v>1.9597165447711312E-2</v>
      </c>
      <c r="P59">
        <f t="shared" si="14"/>
        <v>3.3320619791880404E-2</v>
      </c>
      <c r="Q59" s="2">
        <f t="shared" si="15"/>
        <v>40990.958500000001</v>
      </c>
      <c r="R59">
        <f t="shared" si="16"/>
        <v>3.4026221896068357E-6</v>
      </c>
      <c r="S59" s="3">
        <v>1</v>
      </c>
      <c r="T59">
        <f t="shared" si="17"/>
        <v>3.4026221896068357E-6</v>
      </c>
    </row>
    <row r="60" spans="1:20">
      <c r="A60" s="65" t="s">
        <v>57</v>
      </c>
      <c r="B60" s="66" t="s">
        <v>42</v>
      </c>
      <c r="C60" s="67">
        <v>56009.639799999997</v>
      </c>
      <c r="D60" s="67">
        <v>1.9E-3</v>
      </c>
      <c r="E60">
        <f t="shared" si="10"/>
        <v>9164.5892178690337</v>
      </c>
      <c r="F60">
        <f t="shared" si="11"/>
        <v>9164.5</v>
      </c>
      <c r="G60">
        <f t="shared" si="12"/>
        <v>3.2217999993008561E-2</v>
      </c>
      <c r="J60">
        <f>G60</f>
        <v>3.2217999993008561E-2</v>
      </c>
      <c r="O60">
        <f t="shared" ca="1" si="13"/>
        <v>1.960342618641911E-2</v>
      </c>
      <c r="P60">
        <f t="shared" si="14"/>
        <v>3.3323367837916229E-2</v>
      </c>
      <c r="Q60" s="2">
        <f t="shared" si="15"/>
        <v>40991.139799999997</v>
      </c>
      <c r="R60">
        <f t="shared" si="16"/>
        <v>1.2218380725558215E-6</v>
      </c>
      <c r="S60" s="3">
        <v>1</v>
      </c>
      <c r="T60">
        <f t="shared" si="17"/>
        <v>1.2218380725558215E-6</v>
      </c>
    </row>
    <row r="61" spans="1:20">
      <c r="A61" s="65" t="s">
        <v>57</v>
      </c>
      <c r="B61" s="66" t="s">
        <v>42</v>
      </c>
      <c r="C61" s="67">
        <v>56015.416700000002</v>
      </c>
      <c r="D61" s="67">
        <v>2.0999999999999999E-3</v>
      </c>
      <c r="E61">
        <f t="shared" si="10"/>
        <v>9180.5865705202705</v>
      </c>
      <c r="F61">
        <f t="shared" si="11"/>
        <v>9180.5</v>
      </c>
      <c r="G61">
        <f t="shared" si="12"/>
        <v>3.1261999996786471E-2</v>
      </c>
      <c r="J61">
        <f>G61</f>
        <v>3.1261999996786471E-2</v>
      </c>
      <c r="O61">
        <f t="shared" ca="1" si="13"/>
        <v>1.9803769825068512E-2</v>
      </c>
      <c r="P61">
        <f t="shared" si="14"/>
        <v>3.3411371588609379E-2</v>
      </c>
      <c r="Q61" s="2">
        <f t="shared" si="15"/>
        <v>40996.916700000002</v>
      </c>
      <c r="R61">
        <f t="shared" si="16"/>
        <v>4.6197982397353384E-6</v>
      </c>
      <c r="S61" s="3">
        <v>1</v>
      </c>
      <c r="T61">
        <f t="shared" si="17"/>
        <v>4.6197982397353384E-6</v>
      </c>
    </row>
    <row r="62" spans="1:20">
      <c r="A62" s="65" t="s">
        <v>57</v>
      </c>
      <c r="B62" s="66" t="s">
        <v>32</v>
      </c>
      <c r="C62" s="67">
        <v>56015.598599999998</v>
      </c>
      <c r="D62" s="67">
        <v>1.5E-3</v>
      </c>
      <c r="E62">
        <f t="shared" si="10"/>
        <v>9181.0902867776404</v>
      </c>
      <c r="F62">
        <f t="shared" si="11"/>
        <v>9181</v>
      </c>
      <c r="G62">
        <f t="shared" si="12"/>
        <v>3.2603999992716126E-2</v>
      </c>
      <c r="J62">
        <f>G62</f>
        <v>3.2603999992716126E-2</v>
      </c>
      <c r="O62">
        <f t="shared" ca="1" si="13"/>
        <v>1.981003056377631E-2</v>
      </c>
      <c r="P62">
        <f t="shared" si="14"/>
        <v>3.3414123776991864E-2</v>
      </c>
      <c r="Q62" s="2">
        <f t="shared" si="15"/>
        <v>40997.098599999998</v>
      </c>
      <c r="R62">
        <f t="shared" si="16"/>
        <v>6.5630054584924162E-7</v>
      </c>
      <c r="S62" s="3">
        <v>1</v>
      </c>
      <c r="T62">
        <f t="shared" si="17"/>
        <v>6.5630054584924162E-7</v>
      </c>
    </row>
    <row r="63" spans="1:20">
      <c r="A63" s="68" t="s">
        <v>56</v>
      </c>
      <c r="B63" s="69" t="s">
        <v>42</v>
      </c>
      <c r="C63" s="70">
        <v>56355.587480000002</v>
      </c>
      <c r="D63" s="70">
        <v>2.0000000000000001E-4</v>
      </c>
      <c r="E63">
        <f t="shared" si="10"/>
        <v>10122.585208077178</v>
      </c>
      <c r="F63">
        <f t="shared" si="11"/>
        <v>10122.5</v>
      </c>
      <c r="G63">
        <f t="shared" si="12"/>
        <v>3.0769999997573905E-2</v>
      </c>
      <c r="K63">
        <f t="shared" ref="K63:K75" si="18">G63</f>
        <v>3.0769999997573905E-2</v>
      </c>
      <c r="O63">
        <f t="shared" ca="1" si="13"/>
        <v>3.1599001550552133E-2</v>
      </c>
      <c r="P63">
        <f t="shared" si="14"/>
        <v>3.8819150153279115E-2</v>
      </c>
      <c r="Q63" s="2">
        <f t="shared" si="15"/>
        <v>41337.087480000002</v>
      </c>
      <c r="R63">
        <f t="shared" si="16"/>
        <v>6.478881822908921E-5</v>
      </c>
      <c r="S63" s="3">
        <v>1</v>
      </c>
      <c r="T63">
        <f t="shared" si="17"/>
        <v>6.478881822908921E-5</v>
      </c>
    </row>
    <row r="64" spans="1:20">
      <c r="A64" s="70" t="s">
        <v>58</v>
      </c>
      <c r="B64" s="69"/>
      <c r="C64" s="70">
        <v>56355.594879999997</v>
      </c>
      <c r="D64" s="70">
        <v>2.2000000000000001E-4</v>
      </c>
      <c r="E64">
        <f t="shared" si="10"/>
        <v>10122.605700107426</v>
      </c>
      <c r="F64">
        <f t="shared" si="11"/>
        <v>10122.5</v>
      </c>
      <c r="G64">
        <f t="shared" si="12"/>
        <v>3.8169999992533121E-2</v>
      </c>
      <c r="K64">
        <f t="shared" si="18"/>
        <v>3.8169999992533121E-2</v>
      </c>
      <c r="O64">
        <f t="shared" ca="1" si="13"/>
        <v>3.1599001550552133E-2</v>
      </c>
      <c r="P64">
        <f t="shared" si="14"/>
        <v>3.8819150153279115E-2</v>
      </c>
      <c r="Q64" s="2">
        <f t="shared" si="15"/>
        <v>41337.094879999997</v>
      </c>
      <c r="R64">
        <f t="shared" si="16"/>
        <v>4.2139593119654988E-7</v>
      </c>
      <c r="S64" s="3">
        <v>1</v>
      </c>
      <c r="T64">
        <f t="shared" si="17"/>
        <v>4.2139593119654988E-7</v>
      </c>
    </row>
    <row r="65" spans="1:20">
      <c r="A65" s="14" t="s">
        <v>59</v>
      </c>
      <c r="B65" s="13" t="s">
        <v>42</v>
      </c>
      <c r="C65" s="71">
        <v>56737.661849999997</v>
      </c>
      <c r="D65" s="73">
        <v>2.9999999999999997E-4</v>
      </c>
      <c r="E65">
        <f t="shared" si="10"/>
        <v>11180.622985411872</v>
      </c>
      <c r="F65">
        <f t="shared" si="11"/>
        <v>11180.5</v>
      </c>
      <c r="G65">
        <f t="shared" si="12"/>
        <v>4.4411999995645601E-2</v>
      </c>
      <c r="K65">
        <f t="shared" si="18"/>
        <v>4.4411999995645601E-2</v>
      </c>
      <c r="O65">
        <f t="shared" ca="1" si="13"/>
        <v>4.4846724656243939E-2</v>
      </c>
      <c r="P65">
        <f t="shared" si="14"/>
        <v>4.5424079318876709E-2</v>
      </c>
      <c r="Q65" s="2">
        <f t="shared" si="15"/>
        <v>41719.161849999997</v>
      </c>
      <c r="R65">
        <f t="shared" si="16"/>
        <v>1.0243045565119369E-6</v>
      </c>
      <c r="S65" s="3">
        <v>1</v>
      </c>
      <c r="T65">
        <f t="shared" si="17"/>
        <v>1.0243045565119369E-6</v>
      </c>
    </row>
    <row r="66" spans="1:20">
      <c r="A66" s="73" t="s">
        <v>59</v>
      </c>
      <c r="B66" s="74" t="s">
        <v>32</v>
      </c>
      <c r="C66" s="71">
        <v>56797.426390000001</v>
      </c>
      <c r="D66" s="73">
        <v>2.9999999999999997E-4</v>
      </c>
      <c r="E66">
        <f t="shared" si="10"/>
        <v>11346.122547879344</v>
      </c>
      <c r="F66">
        <f t="shared" si="11"/>
        <v>11346</v>
      </c>
      <c r="G66">
        <f t="shared" si="12"/>
        <v>4.4254000000364613E-2</v>
      </c>
      <c r="K66">
        <f t="shared" si="18"/>
        <v>4.4254000000364613E-2</v>
      </c>
      <c r="O66">
        <f t="shared" ca="1" si="13"/>
        <v>4.691902916852371E-2</v>
      </c>
      <c r="P66">
        <f t="shared" si="14"/>
        <v>4.6508105226350391E-2</v>
      </c>
      <c r="Q66" s="2">
        <f t="shared" si="15"/>
        <v>41778.926390000001</v>
      </c>
      <c r="R66">
        <f t="shared" si="16"/>
        <v>5.0809903698163952E-6</v>
      </c>
      <c r="S66" s="3">
        <v>1</v>
      </c>
      <c r="T66">
        <f t="shared" si="17"/>
        <v>5.0809903698163952E-6</v>
      </c>
    </row>
    <row r="67" spans="1:20">
      <c r="A67" s="75" t="s">
        <v>262</v>
      </c>
      <c r="B67" s="76" t="s">
        <v>42</v>
      </c>
      <c r="C67" s="77">
        <v>57133.452839999998</v>
      </c>
      <c r="D67" s="77">
        <v>2.9999999999999997E-4</v>
      </c>
      <c r="E67">
        <f t="shared" si="10"/>
        <v>12276.644734655885</v>
      </c>
      <c r="F67">
        <f t="shared" si="11"/>
        <v>12276.5</v>
      </c>
      <c r="G67">
        <f t="shared" si="12"/>
        <v>5.2265999998780899E-2</v>
      </c>
      <c r="K67">
        <f t="shared" si="18"/>
        <v>5.2265999998780899E-2</v>
      </c>
      <c r="O67">
        <f t="shared" ca="1" si="13"/>
        <v>5.857026390372809E-2</v>
      </c>
      <c r="P67">
        <f t="shared" si="14"/>
        <v>5.2858914486825927E-2</v>
      </c>
      <c r="Q67" s="2">
        <f t="shared" si="15"/>
        <v>42114.952839999998</v>
      </c>
      <c r="R67">
        <f t="shared" si="16"/>
        <v>3.5154759013369757E-7</v>
      </c>
      <c r="S67" s="3">
        <v>1</v>
      </c>
      <c r="T67">
        <f t="shared" si="17"/>
        <v>3.5154759013369757E-7</v>
      </c>
    </row>
    <row r="68" spans="1:20">
      <c r="A68" s="78" t="s">
        <v>264</v>
      </c>
      <c r="B68" s="79" t="s">
        <v>32</v>
      </c>
      <c r="C68" s="73">
        <v>57186.718699999998</v>
      </c>
      <c r="D68" s="73">
        <v>2.0000000000000001E-4</v>
      </c>
      <c r="E68">
        <f t="shared" si="10"/>
        <v>12424.148196147482</v>
      </c>
      <c r="F68">
        <f t="shared" si="11"/>
        <v>12424</v>
      </c>
      <c r="G68">
        <f t="shared" si="12"/>
        <v>5.3515999992669094E-2</v>
      </c>
      <c r="K68">
        <f t="shared" si="18"/>
        <v>5.3515999992669094E-2</v>
      </c>
      <c r="O68">
        <f t="shared" ca="1" si="13"/>
        <v>6.0417181822527269E-2</v>
      </c>
      <c r="P68">
        <f t="shared" si="14"/>
        <v>5.3905543664853534E-2</v>
      </c>
      <c r="Q68" s="2">
        <f t="shared" si="15"/>
        <v>42168.218699999998</v>
      </c>
      <c r="R68">
        <f t="shared" si="16"/>
        <v>1.5174427253893783E-7</v>
      </c>
      <c r="S68" s="3">
        <v>1</v>
      </c>
      <c r="T68">
        <f t="shared" si="17"/>
        <v>1.5174427253893783E-7</v>
      </c>
    </row>
    <row r="69" spans="1:20">
      <c r="A69" s="80" t="s">
        <v>262</v>
      </c>
      <c r="B69" s="81" t="s">
        <v>42</v>
      </c>
      <c r="C69" s="82">
        <v>57425.603750000002</v>
      </c>
      <c r="D69" s="82">
        <v>2.9999999999999997E-4</v>
      </c>
      <c r="E69">
        <f t="shared" si="10"/>
        <v>13085.667070968882</v>
      </c>
      <c r="F69">
        <f t="shared" si="11"/>
        <v>13085.5</v>
      </c>
      <c r="G69">
        <f t="shared" si="12"/>
        <v>6.03320000009262E-2</v>
      </c>
      <c r="K69">
        <f t="shared" si="18"/>
        <v>6.03320000009262E-2</v>
      </c>
      <c r="O69">
        <f t="shared" ca="1" si="13"/>
        <v>6.8700139132938529E-2</v>
      </c>
      <c r="P69">
        <f t="shared" si="14"/>
        <v>5.8733760424922947E-2</v>
      </c>
      <c r="Q69" s="2">
        <f t="shared" si="15"/>
        <v>42407.103750000002</v>
      </c>
      <c r="R69">
        <f t="shared" si="16"/>
        <v>2.5543697423030588E-6</v>
      </c>
      <c r="S69" s="3">
        <v>1</v>
      </c>
      <c r="T69">
        <f t="shared" si="17"/>
        <v>2.5543697423030588E-6</v>
      </c>
    </row>
    <row r="70" spans="1:20">
      <c r="A70" s="80" t="s">
        <v>262</v>
      </c>
      <c r="B70" s="81" t="s">
        <v>32</v>
      </c>
      <c r="C70" s="82">
        <v>57482.479720000003</v>
      </c>
      <c r="D70" s="82">
        <v>8.0000000000000004E-4</v>
      </c>
      <c r="E70">
        <f t="shared" si="10"/>
        <v>13243.16762480754</v>
      </c>
      <c r="F70">
        <f t="shared" si="11"/>
        <v>13243</v>
      </c>
      <c r="G70">
        <f t="shared" si="12"/>
        <v>6.0532000003149733E-2</v>
      </c>
      <c r="K70">
        <f t="shared" si="18"/>
        <v>6.0532000003149733E-2</v>
      </c>
      <c r="O70">
        <f t="shared" ca="1" si="13"/>
        <v>7.0672271825893598E-2</v>
      </c>
      <c r="P70">
        <f t="shared" si="14"/>
        <v>5.9915719580466709E-2</v>
      </c>
      <c r="Q70" s="2">
        <f t="shared" si="15"/>
        <v>42463.979720000003</v>
      </c>
      <c r="R70">
        <f t="shared" si="16"/>
        <v>3.7980155938236707E-7</v>
      </c>
      <c r="S70" s="3">
        <v>1</v>
      </c>
      <c r="T70">
        <f t="shared" si="17"/>
        <v>3.7980155938236707E-7</v>
      </c>
    </row>
    <row r="71" spans="1:20">
      <c r="A71" s="82" t="s">
        <v>1</v>
      </c>
      <c r="B71" s="81" t="s">
        <v>32</v>
      </c>
      <c r="C71" s="82">
        <v>57508.120799999997</v>
      </c>
      <c r="D71" s="82" t="s">
        <v>69</v>
      </c>
      <c r="E71">
        <f t="shared" si="10"/>
        <v>13314.172731199929</v>
      </c>
      <c r="F71">
        <f t="shared" si="11"/>
        <v>13314</v>
      </c>
      <c r="G71">
        <f t="shared" si="12"/>
        <v>6.2375999994401354E-2</v>
      </c>
      <c r="K71">
        <f t="shared" si="18"/>
        <v>6.2375999994401354E-2</v>
      </c>
      <c r="O71">
        <f t="shared" ca="1" si="13"/>
        <v>7.1561296722400344E-2</v>
      </c>
      <c r="P71">
        <f t="shared" si="14"/>
        <v>6.045261219425814E-2</v>
      </c>
      <c r="Q71" s="2">
        <f t="shared" si="15"/>
        <v>42489.620799999997</v>
      </c>
      <c r="R71">
        <f t="shared" si="16"/>
        <v>3.6994206297397527E-6</v>
      </c>
      <c r="S71" s="3">
        <v>1</v>
      </c>
      <c r="T71">
        <f t="shared" si="17"/>
        <v>3.6994206297397527E-6</v>
      </c>
    </row>
    <row r="72" spans="1:20">
      <c r="A72" s="37" t="s">
        <v>265</v>
      </c>
      <c r="B72" s="38" t="s">
        <v>32</v>
      </c>
      <c r="C72" s="14">
        <v>57524.731399999997</v>
      </c>
      <c r="D72" s="14">
        <v>2.0000000000000001E-4</v>
      </c>
      <c r="E72">
        <f t="shared" si="10"/>
        <v>13360.170693073676</v>
      </c>
      <c r="F72">
        <f t="shared" si="11"/>
        <v>13360</v>
      </c>
      <c r="G72">
        <f t="shared" si="12"/>
        <v>6.1639999992621597E-2</v>
      </c>
      <c r="K72">
        <f t="shared" si="18"/>
        <v>6.1639999992621597E-2</v>
      </c>
      <c r="O72">
        <f t="shared" ca="1" si="13"/>
        <v>7.2137284683517364E-2</v>
      </c>
      <c r="P72">
        <f t="shared" si="14"/>
        <v>6.0801809271218622E-2</v>
      </c>
      <c r="Q72" s="2">
        <f t="shared" si="15"/>
        <v>42506.231399999997</v>
      </c>
      <c r="R72">
        <f t="shared" si="16"/>
        <v>7.0256368544603901E-7</v>
      </c>
      <c r="S72" s="3">
        <v>1</v>
      </c>
      <c r="T72">
        <f t="shared" si="17"/>
        <v>7.0256368544603901E-7</v>
      </c>
    </row>
    <row r="73" spans="1:20">
      <c r="A73" s="35" t="s">
        <v>263</v>
      </c>
      <c r="B73" s="69"/>
      <c r="C73" s="70">
        <v>57817.9666</v>
      </c>
      <c r="D73" s="70">
        <v>2.0000000000000001E-4</v>
      </c>
      <c r="E73">
        <f t="shared" si="10"/>
        <v>14172.195637966737</v>
      </c>
      <c r="F73">
        <f t="shared" si="11"/>
        <v>14172</v>
      </c>
      <c r="G73">
        <f t="shared" si="12"/>
        <v>7.0647999993525445E-2</v>
      </c>
      <c r="K73">
        <f t="shared" si="18"/>
        <v>7.0647999993525445E-2</v>
      </c>
      <c r="O73">
        <f t="shared" ca="1" si="13"/>
        <v>8.2304724344974586E-2</v>
      </c>
      <c r="P73">
        <f t="shared" si="14"/>
        <v>6.7140803249145745E-2</v>
      </c>
      <c r="Q73" s="2">
        <f t="shared" si="15"/>
        <v>42799.4666</v>
      </c>
      <c r="R73">
        <f t="shared" si="16"/>
        <v>1.2300429003787573E-5</v>
      </c>
      <c r="S73" s="3">
        <v>1</v>
      </c>
      <c r="T73">
        <f t="shared" si="17"/>
        <v>1.2300429003787573E-5</v>
      </c>
    </row>
    <row r="74" spans="1:20">
      <c r="A74" s="72" t="s">
        <v>266</v>
      </c>
      <c r="B74" s="83"/>
      <c r="C74" s="73">
        <v>58208.883199999997</v>
      </c>
      <c r="D74" s="77">
        <v>2.9999999999999997E-4</v>
      </c>
      <c r="E74">
        <f t="shared" si="10"/>
        <v>15254.719259185395</v>
      </c>
      <c r="F74">
        <f t="shared" si="11"/>
        <v>15254.5</v>
      </c>
      <c r="G74">
        <f t="shared" si="12"/>
        <v>7.917799999268027E-2</v>
      </c>
      <c r="K74">
        <f t="shared" si="18"/>
        <v>7.917799999268027E-2</v>
      </c>
      <c r="O74">
        <f t="shared" ca="1" si="13"/>
        <v>9.5859223647348293E-2</v>
      </c>
      <c r="P74">
        <f t="shared" si="14"/>
        <v>7.6106349203635501E-2</v>
      </c>
      <c r="Q74" s="2">
        <f t="shared" si="15"/>
        <v>43190.383199999997</v>
      </c>
      <c r="R74">
        <f t="shared" si="16"/>
        <v>9.4350385698393528E-6</v>
      </c>
      <c r="S74" s="3">
        <v>1</v>
      </c>
      <c r="T74">
        <f t="shared" si="17"/>
        <v>9.4350385698393528E-6</v>
      </c>
    </row>
    <row r="75" spans="1:20">
      <c r="A75" s="82" t="s">
        <v>0</v>
      </c>
      <c r="B75" s="76" t="s">
        <v>32</v>
      </c>
      <c r="C75" s="77">
        <v>58247.7039</v>
      </c>
      <c r="D75" s="77">
        <v>2.0000000000000001E-4</v>
      </c>
      <c r="E75">
        <f t="shared" si="10"/>
        <v>15362.2212806965</v>
      </c>
      <c r="F75">
        <f t="shared" si="11"/>
        <v>15362</v>
      </c>
      <c r="G75">
        <f t="shared" si="12"/>
        <v>7.9907999999704771E-2</v>
      </c>
      <c r="K75">
        <f t="shared" si="18"/>
        <v>7.9907999999704771E-2</v>
      </c>
      <c r="O75">
        <f t="shared" ca="1" si="13"/>
        <v>9.7205282469523965E-2</v>
      </c>
      <c r="P75">
        <f t="shared" si="14"/>
        <v>7.7028807843630878E-2</v>
      </c>
      <c r="Q75" s="2">
        <f t="shared" si="15"/>
        <v>43229.2039</v>
      </c>
      <c r="R75">
        <f t="shared" si="16"/>
        <v>8.2897474715974297E-6</v>
      </c>
      <c r="S75" s="3">
        <v>1</v>
      </c>
      <c r="T75">
        <f t="shared" si="17"/>
        <v>8.2897474715974297E-6</v>
      </c>
    </row>
    <row r="76" spans="1:20">
      <c r="A76" s="84" t="s">
        <v>267</v>
      </c>
      <c r="B76" s="85" t="s">
        <v>32</v>
      </c>
      <c r="C76" s="86">
        <v>57875.745699999999</v>
      </c>
      <c r="D76" s="86">
        <v>1E-4</v>
      </c>
      <c r="E76">
        <f>+(C76-C$7)/C$8</f>
        <v>14332.197133331107</v>
      </c>
      <c r="F76">
        <f t="shared" si="11"/>
        <v>14332</v>
      </c>
      <c r="G76">
        <f>+C76-(C$7+F76*C$8)</f>
        <v>7.1187999994435813E-2</v>
      </c>
      <c r="K76">
        <f>G76</f>
        <v>7.1187999994435813E-2</v>
      </c>
      <c r="O76">
        <f ca="1">+C$11+C$12*$F76</f>
        <v>8.4308160731468615E-2</v>
      </c>
      <c r="P76">
        <f>+D$11+D$12*F76+D$13*F76^2</f>
        <v>6.8428909602121904E-2</v>
      </c>
      <c r="Q76" s="2">
        <f>+C76-15018.5</f>
        <v>42857.245699999999</v>
      </c>
      <c r="R76">
        <f>+(P76-G76)^2</f>
        <v>7.6125797929589219E-6</v>
      </c>
      <c r="S76" s="3">
        <v>1</v>
      </c>
      <c r="T76">
        <f>+S76*R76</f>
        <v>7.6125797929589219E-6</v>
      </c>
    </row>
    <row r="77" spans="1:20">
      <c r="A77" s="87" t="s">
        <v>268</v>
      </c>
      <c r="B77" s="88" t="s">
        <v>42</v>
      </c>
      <c r="C77" s="89">
        <v>57878.455810000189</v>
      </c>
      <c r="D77" s="89">
        <v>2.9999999999999997E-4</v>
      </c>
      <c r="E77">
        <f>+(C77-C$7)/C$8</f>
        <v>14339.701951727935</v>
      </c>
      <c r="F77">
        <f t="shared" si="11"/>
        <v>14339.5</v>
      </c>
      <c r="G77">
        <f>+C77-(C$7+F77*C$8)</f>
        <v>7.292800018331036E-2</v>
      </c>
      <c r="K77">
        <f>G77</f>
        <v>7.292800018331036E-2</v>
      </c>
      <c r="O77">
        <f ca="1">+C$11+C$12*$F77</f>
        <v>8.4402071812085547E-2</v>
      </c>
      <c r="P77">
        <f>+D$11+D$12*F77+D$13*F77^2</f>
        <v>6.8489604970629503E-2</v>
      </c>
      <c r="Q77" s="2">
        <f>+C77-15018.5</f>
        <v>42859.955810000189</v>
      </c>
      <c r="R77">
        <f>+(P77-G77)^2</f>
        <v>1.9699352063948347E-5</v>
      </c>
      <c r="S77" s="3">
        <v>1</v>
      </c>
      <c r="T77">
        <f>+S77*R77</f>
        <v>1.9699352063948347E-5</v>
      </c>
    </row>
    <row r="78" spans="1:20">
      <c r="A78" s="84" t="s">
        <v>269</v>
      </c>
      <c r="B78" s="85" t="s">
        <v>42</v>
      </c>
      <c r="C78" s="86">
        <v>58628.150600000001</v>
      </c>
      <c r="D78" s="86" t="s">
        <v>69</v>
      </c>
      <c r="E78">
        <f>+(C78-C$7)/C$8</f>
        <v>16415.751725207407</v>
      </c>
      <c r="F78" s="90">
        <f>ROUND(2*E78,0)/2-0.5</f>
        <v>16415.5</v>
      </c>
      <c r="G78">
        <f>+C78-(C$7+F78*C$8)</f>
        <v>9.0901999996276572E-2</v>
      </c>
      <c r="K78">
        <f>G78</f>
        <v>9.0901999996276572E-2</v>
      </c>
      <c r="O78">
        <f ca="1">+C$11+C$12*$F78</f>
        <v>0.11039665892684562</v>
      </c>
      <c r="P78">
        <f>+D$11+D$12*F78+D$13*F78^2</f>
        <v>8.6375966765589646E-2</v>
      </c>
      <c r="Q78" s="2">
        <f>+C78-15018.5</f>
        <v>43609.650600000001</v>
      </c>
      <c r="R78">
        <f>+(P78-G78)^2</f>
        <v>2.048497680528234E-5</v>
      </c>
      <c r="S78" s="3">
        <v>1</v>
      </c>
      <c r="T78">
        <f>+S78*R78</f>
        <v>2.048497680528234E-5</v>
      </c>
    </row>
    <row r="79" spans="1:20">
      <c r="A79" s="91" t="s">
        <v>270</v>
      </c>
      <c r="B79" s="92" t="s">
        <v>42</v>
      </c>
      <c r="C79" s="93">
        <v>58208.883199999997</v>
      </c>
      <c r="D79" s="91">
        <v>2.9999999999999997E-4</v>
      </c>
      <c r="E79">
        <f>+(C79-C$7)/C$8</f>
        <v>15254.719259185395</v>
      </c>
      <c r="F79" s="90">
        <f>ROUND(2*E79,0)/2-0.5</f>
        <v>15254</v>
      </c>
      <c r="G79">
        <f>+C79-(C$7+F79*C$8)</f>
        <v>0.25973599999269936</v>
      </c>
      <c r="K79">
        <f>G79</f>
        <v>0.25973599999269936</v>
      </c>
      <c r="O79">
        <f ca="1">+C$11+C$12*$F79</f>
        <v>9.5852962908640496E-2</v>
      </c>
      <c r="P79">
        <f>+D$11+D$12*F79+D$13*F79^2</f>
        <v>7.6102072255104083E-2</v>
      </c>
      <c r="Q79" s="2">
        <f>+C79-15018.5</f>
        <v>43190.383199999997</v>
      </c>
      <c r="R79">
        <f>+(P79-G79)^2</f>
        <v>3.3721419416336371E-2</v>
      </c>
      <c r="S79" s="3">
        <v>1</v>
      </c>
      <c r="T79">
        <f>+S79*R79</f>
        <v>3.3721419416336371E-2</v>
      </c>
    </row>
    <row r="80" spans="1:20">
      <c r="A80" s="94" t="s">
        <v>271</v>
      </c>
      <c r="B80" s="95" t="s">
        <v>32</v>
      </c>
      <c r="C80" s="96">
        <v>59743.12900000019</v>
      </c>
      <c r="D80" s="97"/>
      <c r="E80">
        <f>+(C80-C$7)/C$8</f>
        <v>19503.342416287804</v>
      </c>
      <c r="F80" s="90">
        <f>ROUND(2*E80,0)/2-0.5</f>
        <v>19503</v>
      </c>
      <c r="G80">
        <f>+C80-(C$7+F80*C$8)</f>
        <v>0.12365200018393807</v>
      </c>
      <c r="K80">
        <f>G80</f>
        <v>0.12365200018393807</v>
      </c>
      <c r="O80">
        <f ca="1">+C$11+C$12*$F80</f>
        <v>0.1490567204474727</v>
      </c>
      <c r="P80">
        <f>+D$11+D$12*F80+D$13*F80^2</f>
        <v>0.11697952817068728</v>
      </c>
      <c r="Q80" s="2">
        <f>+C80-15018.5</f>
        <v>44724.62900000019</v>
      </c>
      <c r="R80">
        <f>+(P80-G80)^2</f>
        <v>4.4521882767615025E-5</v>
      </c>
      <c r="S80" s="3">
        <v>1</v>
      </c>
      <c r="T80">
        <f>+S80*R80</f>
        <v>4.4521882767615025E-5</v>
      </c>
    </row>
  </sheetData>
  <protectedRanges>
    <protectedRange sqref="A76:D78" name="Range1"/>
  </protectedRanges>
  <phoneticPr fontId="7" type="noConversion"/>
  <hyperlinks>
    <hyperlink ref="H2999" r:id="rId1" display="http://vsolj.cetus-net.org/bulletin.html" xr:uid="{00000000-0004-0000-0000-000000000000}"/>
    <hyperlink ref="H64876" r:id="rId2" display="http://vsolj.cetus-net.org/bulletin.html" xr:uid="{00000000-0004-0000-0000-000001000000}"/>
    <hyperlink ref="H64869" r:id="rId3" display="https://www.aavso.org/ejaavso" xr:uid="{00000000-0004-0000-0000-000002000000}"/>
    <hyperlink ref="I64876" r:id="rId4" display="http://vsolj.cetus-net.org/bulletin.html" xr:uid="{00000000-0004-0000-0000-000003000000}"/>
    <hyperlink ref="AQ58527" r:id="rId5" display="http://cdsbib.u-strasbg.fr/cgi-bin/cdsbib?1990RMxAA..21..381G" xr:uid="{00000000-0004-0000-0000-000004000000}"/>
    <hyperlink ref="H64873" r:id="rId6" display="https://www.aavso.org/ejaavso" xr:uid="{00000000-0004-0000-0000-000005000000}"/>
    <hyperlink ref="AP5891" r:id="rId7" display="http://cdsbib.u-strasbg.fr/cgi-bin/cdsbib?1990RMxAA..21..381G" xr:uid="{00000000-0004-0000-0000-000006000000}"/>
    <hyperlink ref="AP5894" r:id="rId8" display="http://cdsbib.u-strasbg.fr/cgi-bin/cdsbib?1990RMxAA..21..381G" xr:uid="{00000000-0004-0000-0000-000007000000}"/>
    <hyperlink ref="AP5892" r:id="rId9" display="http://cdsbib.u-strasbg.fr/cgi-bin/cdsbib?1990RMxAA..21..381G" xr:uid="{00000000-0004-0000-0000-000008000000}"/>
    <hyperlink ref="AP5876" r:id="rId10" display="http://cdsbib.u-strasbg.fr/cgi-bin/cdsbib?1990RMxAA..21..381G" xr:uid="{00000000-0004-0000-0000-000009000000}"/>
    <hyperlink ref="AQ6105" r:id="rId11" display="http://cdsbib.u-strasbg.fr/cgi-bin/cdsbib?1990RMxAA..21..381G" xr:uid="{00000000-0004-0000-0000-00000A000000}"/>
    <hyperlink ref="AQ6109" r:id="rId12" display="http://cdsbib.u-strasbg.fr/cgi-bin/cdsbib?1990RMxAA..21..381G" xr:uid="{00000000-0004-0000-0000-00000B000000}"/>
    <hyperlink ref="AQ253" r:id="rId13" display="http://cdsbib.u-strasbg.fr/cgi-bin/cdsbib?1990RMxAA..21..381G" xr:uid="{00000000-0004-0000-0000-00000C000000}"/>
    <hyperlink ref="I2997" r:id="rId14" display="http://vsolj.cetus-net.org/bulletin.html" xr:uid="{00000000-0004-0000-0000-00000D000000}"/>
    <hyperlink ref="H2997" r:id="rId15" display="http://vsolj.cetus-net.org/bulletin.html" xr:uid="{00000000-0004-0000-0000-00000E000000}"/>
    <hyperlink ref="AQ914" r:id="rId16" display="http://cdsbib.u-strasbg.fr/cgi-bin/cdsbib?1990RMxAA..21..381G" xr:uid="{00000000-0004-0000-0000-00000F000000}"/>
    <hyperlink ref="AQ913" r:id="rId17" display="http://cdsbib.u-strasbg.fr/cgi-bin/cdsbib?1990RMxAA..21..381G" xr:uid="{00000000-0004-0000-0000-000010000000}"/>
    <hyperlink ref="AP4167" r:id="rId18" display="http://cdsbib.u-strasbg.fr/cgi-bin/cdsbib?1990RMxAA..21..381G" xr:uid="{00000000-0004-0000-0000-000011000000}"/>
    <hyperlink ref="AP4185" r:id="rId19" display="http://cdsbib.u-strasbg.fr/cgi-bin/cdsbib?1990RMxAA..21..381G" xr:uid="{00000000-0004-0000-0000-000012000000}"/>
    <hyperlink ref="AP4186" r:id="rId20" display="http://cdsbib.u-strasbg.fr/cgi-bin/cdsbib?1990RMxAA..21..381G" xr:uid="{00000000-0004-0000-0000-000013000000}"/>
    <hyperlink ref="AP418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0"/>
  <sheetViews>
    <sheetView topLeftCell="A19" workbookViewId="0">
      <selection activeCell="A43" sqref="A43:D52"/>
    </sheetView>
  </sheetViews>
  <sheetFormatPr defaultRowHeight="12.75"/>
  <cols>
    <col min="1" max="1" width="19.7109375" style="16" customWidth="1"/>
    <col min="2" max="2" width="4.42578125" style="15" customWidth="1"/>
    <col min="3" max="3" width="12.7109375" style="16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6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3" t="s">
        <v>60</v>
      </c>
      <c r="I1" s="44" t="s">
        <v>61</v>
      </c>
      <c r="J1" s="45" t="s">
        <v>62</v>
      </c>
    </row>
    <row r="2" spans="1:16">
      <c r="I2" s="46" t="s">
        <v>63</v>
      </c>
      <c r="J2" s="47" t="s">
        <v>64</v>
      </c>
    </row>
    <row r="3" spans="1:16">
      <c r="A3" s="48" t="s">
        <v>65</v>
      </c>
      <c r="I3" s="46" t="s">
        <v>66</v>
      </c>
      <c r="J3" s="47" t="s">
        <v>67</v>
      </c>
    </row>
    <row r="4" spans="1:16">
      <c r="I4" s="46" t="s">
        <v>68</v>
      </c>
      <c r="J4" s="47" t="s">
        <v>67</v>
      </c>
    </row>
    <row r="5" spans="1:16" ht="13.5" thickBot="1">
      <c r="I5" s="49" t="s">
        <v>69</v>
      </c>
      <c r="J5" s="50" t="s">
        <v>70</v>
      </c>
    </row>
    <row r="10" spans="1:16" ht="13.5" thickBot="1"/>
    <row r="11" spans="1:16" ht="12.75" customHeight="1" thickBot="1">
      <c r="A11" s="16" t="str">
        <f t="shared" ref="A11:A52" si="0">P11</f>
        <v> BBS 129 </v>
      </c>
      <c r="B11" s="3" t="str">
        <f t="shared" ref="B11:B52" si="1">IF(H11=INT(H11),"I","II")</f>
        <v>I</v>
      </c>
      <c r="C11" s="16">
        <f t="shared" ref="C11:C52" si="2">1*G11</f>
        <v>52763.356200000002</v>
      </c>
      <c r="D11" s="15" t="str">
        <f t="shared" ref="D11:D52" si="3">VLOOKUP(F11,I$1:J$5,2,FALSE)</f>
        <v>vis</v>
      </c>
      <c r="E11" s="51">
        <f>VLOOKUP(C11,Active!C$21:E$973,3,FALSE)</f>
        <v>175.00249227394659</v>
      </c>
      <c r="F11" s="3" t="s">
        <v>69</v>
      </c>
      <c r="G11" s="15" t="str">
        <f t="shared" ref="G11:G52" si="4">MID(I11,3,LEN(I11)-3)</f>
        <v>52763.3562</v>
      </c>
      <c r="H11" s="16">
        <f t="shared" ref="H11:H52" si="5">1*K11</f>
        <v>729</v>
      </c>
      <c r="I11" s="39" t="s">
        <v>100</v>
      </c>
      <c r="J11" s="40" t="s">
        <v>101</v>
      </c>
      <c r="K11" s="39">
        <v>729</v>
      </c>
      <c r="L11" s="39" t="s">
        <v>102</v>
      </c>
      <c r="M11" s="40" t="s">
        <v>74</v>
      </c>
      <c r="N11" s="40" t="s">
        <v>75</v>
      </c>
      <c r="O11" s="41" t="s">
        <v>76</v>
      </c>
      <c r="P11" s="41" t="s">
        <v>103</v>
      </c>
    </row>
    <row r="12" spans="1:16" ht="12.75" customHeight="1" thickBot="1">
      <c r="A12" s="16" t="str">
        <f t="shared" si="0"/>
        <v> BBS 130 </v>
      </c>
      <c r="B12" s="3" t="str">
        <f t="shared" si="1"/>
        <v>I</v>
      </c>
      <c r="C12" s="16">
        <f t="shared" si="2"/>
        <v>53081.505499999999</v>
      </c>
      <c r="D12" s="15" t="str">
        <f t="shared" si="3"/>
        <v>vis</v>
      </c>
      <c r="E12" s="51">
        <f>VLOOKUP(C12,Active!C$21:E$973,3,FALSE)</f>
        <v>1056.0193954297117</v>
      </c>
      <c r="F12" s="3" t="s">
        <v>69</v>
      </c>
      <c r="G12" s="15" t="str">
        <f t="shared" si="4"/>
        <v>53081.5055</v>
      </c>
      <c r="H12" s="16">
        <f t="shared" si="5"/>
        <v>1610</v>
      </c>
      <c r="I12" s="39" t="s">
        <v>104</v>
      </c>
      <c r="J12" s="40" t="s">
        <v>105</v>
      </c>
      <c r="K12" s="39">
        <v>1610</v>
      </c>
      <c r="L12" s="39" t="s">
        <v>106</v>
      </c>
      <c r="M12" s="40" t="s">
        <v>74</v>
      </c>
      <c r="N12" s="40" t="s">
        <v>75</v>
      </c>
      <c r="O12" s="41" t="s">
        <v>76</v>
      </c>
      <c r="P12" s="41" t="s">
        <v>107</v>
      </c>
    </row>
    <row r="13" spans="1:16" ht="12.75" customHeight="1" thickBot="1">
      <c r="A13" s="16" t="str">
        <f t="shared" si="0"/>
        <v>IBVS 5653 </v>
      </c>
      <c r="B13" s="3" t="str">
        <f t="shared" si="1"/>
        <v>I</v>
      </c>
      <c r="C13" s="16">
        <f t="shared" si="2"/>
        <v>53445.510199999997</v>
      </c>
      <c r="D13" s="15" t="str">
        <f t="shared" si="3"/>
        <v>vis</v>
      </c>
      <c r="E13" s="51">
        <f>VLOOKUP(C13,Active!C$21:E$973,3,FALSE)</f>
        <v>2064.0187640536378</v>
      </c>
      <c r="F13" s="3" t="s">
        <v>69</v>
      </c>
      <c r="G13" s="15" t="str">
        <f t="shared" si="4"/>
        <v>53445.5102</v>
      </c>
      <c r="H13" s="16">
        <f t="shared" si="5"/>
        <v>2618</v>
      </c>
      <c r="I13" s="39" t="s">
        <v>108</v>
      </c>
      <c r="J13" s="40" t="s">
        <v>109</v>
      </c>
      <c r="K13" s="39">
        <v>2618</v>
      </c>
      <c r="L13" s="39" t="s">
        <v>110</v>
      </c>
      <c r="M13" s="40" t="s">
        <v>74</v>
      </c>
      <c r="N13" s="40" t="s">
        <v>75</v>
      </c>
      <c r="O13" s="41" t="s">
        <v>111</v>
      </c>
      <c r="P13" s="42" t="s">
        <v>112</v>
      </c>
    </row>
    <row r="14" spans="1:16" ht="12.75" customHeight="1" thickBot="1">
      <c r="A14" s="16" t="str">
        <f t="shared" si="0"/>
        <v>BAVM 186 </v>
      </c>
      <c r="B14" s="3" t="str">
        <f t="shared" si="1"/>
        <v>II</v>
      </c>
      <c r="C14" s="16">
        <f t="shared" si="2"/>
        <v>53815.476900000001</v>
      </c>
      <c r="D14" s="15" t="str">
        <f t="shared" si="3"/>
        <v>vis</v>
      </c>
      <c r="E14" s="51">
        <f>VLOOKUP(C14,Active!C$21:E$973,3,FALSE)</f>
        <v>3088.52806300468</v>
      </c>
      <c r="F14" s="3" t="s">
        <v>69</v>
      </c>
      <c r="G14" s="15" t="str">
        <f t="shared" si="4"/>
        <v>53815.4769</v>
      </c>
      <c r="H14" s="16">
        <f t="shared" si="5"/>
        <v>3642.5</v>
      </c>
      <c r="I14" s="39" t="s">
        <v>113</v>
      </c>
      <c r="J14" s="40" t="s">
        <v>114</v>
      </c>
      <c r="K14" s="39">
        <v>3642.5</v>
      </c>
      <c r="L14" s="39" t="s">
        <v>115</v>
      </c>
      <c r="M14" s="40" t="s">
        <v>116</v>
      </c>
      <c r="N14" s="40" t="s">
        <v>117</v>
      </c>
      <c r="O14" s="41" t="s">
        <v>118</v>
      </c>
      <c r="P14" s="42" t="s">
        <v>119</v>
      </c>
    </row>
    <row r="15" spans="1:16" ht="12.75" customHeight="1" thickBot="1">
      <c r="A15" s="16" t="str">
        <f t="shared" si="0"/>
        <v> BBS 133 (=IBVS 5781) </v>
      </c>
      <c r="B15" s="3" t="str">
        <f t="shared" si="1"/>
        <v>II</v>
      </c>
      <c r="C15" s="16">
        <f t="shared" si="2"/>
        <v>53936.453099999999</v>
      </c>
      <c r="D15" s="15" t="str">
        <f t="shared" si="3"/>
        <v>vis</v>
      </c>
      <c r="E15" s="51">
        <f>VLOOKUP(C15,Active!C$21:E$973,3,FALSE)</f>
        <v>3423.5345429169447</v>
      </c>
      <c r="F15" s="3" t="s">
        <v>69</v>
      </c>
      <c r="G15" s="15" t="str">
        <f t="shared" si="4"/>
        <v>53936.4531</v>
      </c>
      <c r="H15" s="16">
        <f t="shared" si="5"/>
        <v>3977.5</v>
      </c>
      <c r="I15" s="39" t="s">
        <v>126</v>
      </c>
      <c r="J15" s="40" t="s">
        <v>127</v>
      </c>
      <c r="K15" s="39" t="s">
        <v>227</v>
      </c>
      <c r="L15" s="39" t="s">
        <v>128</v>
      </c>
      <c r="M15" s="40" t="s">
        <v>116</v>
      </c>
      <c r="N15" s="40" t="s">
        <v>129</v>
      </c>
      <c r="O15" s="41" t="s">
        <v>111</v>
      </c>
      <c r="P15" s="41" t="s">
        <v>130</v>
      </c>
    </row>
    <row r="16" spans="1:16" ht="12.75" customHeight="1" thickBot="1">
      <c r="A16" s="16" t="str">
        <f t="shared" si="0"/>
        <v> BBS 133 (=IBVS 5781) </v>
      </c>
      <c r="B16" s="3" t="str">
        <f t="shared" si="1"/>
        <v>II</v>
      </c>
      <c r="C16" s="16">
        <f t="shared" si="2"/>
        <v>54174.430099999998</v>
      </c>
      <c r="D16" s="15" t="str">
        <f t="shared" si="3"/>
        <v>vis</v>
      </c>
      <c r="E16" s="51">
        <f>VLOOKUP(C16,Active!C$21:E$973,3,FALSE)</f>
        <v>4082.5388517816832</v>
      </c>
      <c r="F16" s="3" t="s">
        <v>69</v>
      </c>
      <c r="G16" s="15" t="str">
        <f t="shared" si="4"/>
        <v>54174.4301</v>
      </c>
      <c r="H16" s="16">
        <f t="shared" si="5"/>
        <v>4636.5</v>
      </c>
      <c r="I16" s="39" t="s">
        <v>131</v>
      </c>
      <c r="J16" s="40" t="s">
        <v>132</v>
      </c>
      <c r="K16" s="39" t="s">
        <v>228</v>
      </c>
      <c r="L16" s="39" t="s">
        <v>133</v>
      </c>
      <c r="M16" s="40" t="s">
        <v>116</v>
      </c>
      <c r="N16" s="40" t="s">
        <v>123</v>
      </c>
      <c r="O16" s="41" t="s">
        <v>111</v>
      </c>
      <c r="P16" s="41" t="s">
        <v>130</v>
      </c>
    </row>
    <row r="17" spans="1:16" ht="12.75" customHeight="1" thickBot="1">
      <c r="A17" s="16" t="str">
        <f t="shared" si="0"/>
        <v>BAVM 186 </v>
      </c>
      <c r="B17" s="3" t="str">
        <f t="shared" si="1"/>
        <v>I</v>
      </c>
      <c r="C17" s="16">
        <f t="shared" si="2"/>
        <v>54186.5265</v>
      </c>
      <c r="D17" s="15" t="str">
        <f t="shared" si="3"/>
        <v>vis</v>
      </c>
      <c r="E17" s="51">
        <f>VLOOKUP(C17,Active!C$21:E$973,3,FALSE)</f>
        <v>4116.0361213571168</v>
      </c>
      <c r="F17" s="3" t="s">
        <v>69</v>
      </c>
      <c r="G17" s="15" t="str">
        <f t="shared" si="4"/>
        <v>54186.5265</v>
      </c>
      <c r="H17" s="16">
        <f t="shared" si="5"/>
        <v>4670</v>
      </c>
      <c r="I17" s="39" t="s">
        <v>134</v>
      </c>
      <c r="J17" s="40" t="s">
        <v>135</v>
      </c>
      <c r="K17" s="39" t="s">
        <v>229</v>
      </c>
      <c r="L17" s="39" t="s">
        <v>136</v>
      </c>
      <c r="M17" s="40" t="s">
        <v>116</v>
      </c>
      <c r="N17" s="40" t="s">
        <v>117</v>
      </c>
      <c r="O17" s="41" t="s">
        <v>137</v>
      </c>
      <c r="P17" s="42" t="s">
        <v>119</v>
      </c>
    </row>
    <row r="18" spans="1:16" ht="12.75" customHeight="1" thickBot="1">
      <c r="A18" s="16" t="str">
        <f t="shared" si="0"/>
        <v>BAVM 186 </v>
      </c>
      <c r="B18" s="3" t="str">
        <f t="shared" si="1"/>
        <v>II</v>
      </c>
      <c r="C18" s="16">
        <f t="shared" si="2"/>
        <v>54201.513599999998</v>
      </c>
      <c r="D18" s="15" t="str">
        <f t="shared" si="3"/>
        <v>vis</v>
      </c>
      <c r="E18" s="51">
        <f>VLOOKUP(C18,Active!C$21:E$973,3,FALSE)</f>
        <v>4157.5382979430296</v>
      </c>
      <c r="F18" s="3" t="s">
        <v>69</v>
      </c>
      <c r="G18" s="15" t="str">
        <f t="shared" si="4"/>
        <v>54201.5136</v>
      </c>
      <c r="H18" s="16">
        <f t="shared" si="5"/>
        <v>4711.5</v>
      </c>
      <c r="I18" s="39" t="s">
        <v>138</v>
      </c>
      <c r="J18" s="40" t="s">
        <v>139</v>
      </c>
      <c r="K18" s="39" t="s">
        <v>230</v>
      </c>
      <c r="L18" s="39" t="s">
        <v>140</v>
      </c>
      <c r="M18" s="40" t="s">
        <v>116</v>
      </c>
      <c r="N18" s="40" t="s">
        <v>117</v>
      </c>
      <c r="O18" s="41" t="s">
        <v>137</v>
      </c>
      <c r="P18" s="42" t="s">
        <v>119</v>
      </c>
    </row>
    <row r="19" spans="1:16" ht="12.75" customHeight="1" thickBot="1">
      <c r="A19" s="16" t="str">
        <f t="shared" si="0"/>
        <v>BAVM 186 </v>
      </c>
      <c r="B19" s="3" t="str">
        <f t="shared" si="1"/>
        <v>II</v>
      </c>
      <c r="C19" s="16">
        <f t="shared" si="2"/>
        <v>54213.431799999998</v>
      </c>
      <c r="D19" s="15" t="str">
        <f t="shared" si="3"/>
        <v>vis</v>
      </c>
      <c r="E19" s="51">
        <f>VLOOKUP(C19,Active!C$21:E$973,3,FALSE)</f>
        <v>4190.5420972762076</v>
      </c>
      <c r="F19" s="3" t="s">
        <v>69</v>
      </c>
      <c r="G19" s="15" t="str">
        <f t="shared" si="4"/>
        <v>54213.4318</v>
      </c>
      <c r="H19" s="16">
        <f t="shared" si="5"/>
        <v>4744.5</v>
      </c>
      <c r="I19" s="39" t="s">
        <v>141</v>
      </c>
      <c r="J19" s="40" t="s">
        <v>142</v>
      </c>
      <c r="K19" s="39" t="s">
        <v>231</v>
      </c>
      <c r="L19" s="39" t="s">
        <v>143</v>
      </c>
      <c r="M19" s="40" t="s">
        <v>116</v>
      </c>
      <c r="N19" s="40" t="s">
        <v>117</v>
      </c>
      <c r="O19" s="41" t="s">
        <v>137</v>
      </c>
      <c r="P19" s="42" t="s">
        <v>119</v>
      </c>
    </row>
    <row r="20" spans="1:16" ht="12.75" customHeight="1" thickBot="1">
      <c r="A20" s="16" t="str">
        <f t="shared" si="0"/>
        <v>BAVM 201 </v>
      </c>
      <c r="B20" s="3" t="str">
        <f t="shared" si="1"/>
        <v>I</v>
      </c>
      <c r="C20" s="16">
        <f t="shared" si="2"/>
        <v>54570.395400000001</v>
      </c>
      <c r="D20" s="15" t="str">
        <f t="shared" si="3"/>
        <v>vis</v>
      </c>
      <c r="E20" s="51">
        <f>VLOOKUP(C20,Active!C$21:E$973,3,FALSE)</f>
        <v>5179.0432991060979</v>
      </c>
      <c r="F20" s="3" t="s">
        <v>69</v>
      </c>
      <c r="G20" s="15" t="str">
        <f t="shared" si="4"/>
        <v>54570.3954</v>
      </c>
      <c r="H20" s="16">
        <f t="shared" si="5"/>
        <v>5733</v>
      </c>
      <c r="I20" s="39" t="s">
        <v>144</v>
      </c>
      <c r="J20" s="40" t="s">
        <v>145</v>
      </c>
      <c r="K20" s="39" t="s">
        <v>232</v>
      </c>
      <c r="L20" s="39" t="s">
        <v>146</v>
      </c>
      <c r="M20" s="40" t="s">
        <v>116</v>
      </c>
      <c r="N20" s="40" t="s">
        <v>117</v>
      </c>
      <c r="O20" s="41" t="s">
        <v>137</v>
      </c>
      <c r="P20" s="42" t="s">
        <v>147</v>
      </c>
    </row>
    <row r="21" spans="1:16" ht="12.75" customHeight="1" thickBot="1">
      <c r="A21" s="16" t="str">
        <f t="shared" si="0"/>
        <v>BAVM 201 </v>
      </c>
      <c r="B21" s="3" t="str">
        <f t="shared" si="1"/>
        <v>II</v>
      </c>
      <c r="C21" s="16">
        <f t="shared" si="2"/>
        <v>54570.577599999997</v>
      </c>
      <c r="D21" s="15" t="str">
        <f t="shared" si="3"/>
        <v>vis</v>
      </c>
      <c r="E21" s="51">
        <f>VLOOKUP(C21,Active!C$21:E$973,3,FALSE)</f>
        <v>5179.5478461214498</v>
      </c>
      <c r="F21" s="3" t="s">
        <v>69</v>
      </c>
      <c r="G21" s="15" t="str">
        <f t="shared" si="4"/>
        <v>54570.5776</v>
      </c>
      <c r="H21" s="16">
        <f t="shared" si="5"/>
        <v>5733.5</v>
      </c>
      <c r="I21" s="39" t="s">
        <v>148</v>
      </c>
      <c r="J21" s="40" t="s">
        <v>149</v>
      </c>
      <c r="K21" s="39" t="s">
        <v>233</v>
      </c>
      <c r="L21" s="39" t="s">
        <v>150</v>
      </c>
      <c r="M21" s="40" t="s">
        <v>116</v>
      </c>
      <c r="N21" s="40" t="s">
        <v>117</v>
      </c>
      <c r="O21" s="41" t="s">
        <v>137</v>
      </c>
      <c r="P21" s="42" t="s">
        <v>147</v>
      </c>
    </row>
    <row r="22" spans="1:16" ht="12.75" customHeight="1" thickBot="1">
      <c r="A22" s="16" t="str">
        <f t="shared" si="0"/>
        <v>IBVS 5929 </v>
      </c>
      <c r="B22" s="3" t="str">
        <f t="shared" si="1"/>
        <v>I</v>
      </c>
      <c r="C22" s="16">
        <f t="shared" si="2"/>
        <v>54888.903599999998</v>
      </c>
      <c r="D22" s="15" t="str">
        <f t="shared" si="3"/>
        <v>vis</v>
      </c>
      <c r="E22" s="51">
        <f>VLOOKUP(C22,Active!C$21:E$973,3,FALSE)</f>
        <v>6061.054065729556</v>
      </c>
      <c r="F22" s="3" t="s">
        <v>69</v>
      </c>
      <c r="G22" s="15" t="str">
        <f t="shared" si="4"/>
        <v>54888.9036</v>
      </c>
      <c r="H22" s="16">
        <f t="shared" si="5"/>
        <v>6615</v>
      </c>
      <c r="I22" s="39" t="s">
        <v>156</v>
      </c>
      <c r="J22" s="40" t="s">
        <v>157</v>
      </c>
      <c r="K22" s="39" t="s">
        <v>235</v>
      </c>
      <c r="L22" s="39" t="s">
        <v>158</v>
      </c>
      <c r="M22" s="40" t="s">
        <v>116</v>
      </c>
      <c r="N22" s="40" t="s">
        <v>61</v>
      </c>
      <c r="O22" s="41" t="s">
        <v>159</v>
      </c>
      <c r="P22" s="42" t="s">
        <v>160</v>
      </c>
    </row>
    <row r="23" spans="1:16" ht="12.75" customHeight="1" thickBot="1">
      <c r="A23" s="16" t="str">
        <f t="shared" si="0"/>
        <v>BAVM 209 </v>
      </c>
      <c r="B23" s="3" t="str">
        <f t="shared" si="1"/>
        <v>II</v>
      </c>
      <c r="C23" s="16">
        <f t="shared" si="2"/>
        <v>54933.502399999998</v>
      </c>
      <c r="D23" s="15" t="str">
        <f t="shared" si="3"/>
        <v>vis</v>
      </c>
      <c r="E23" s="51">
        <f>VLOOKUP(C23,Active!C$21:E$973,3,FALSE)</f>
        <v>6184.5567629238085</v>
      </c>
      <c r="F23" s="3" t="s">
        <v>69</v>
      </c>
      <c r="G23" s="15" t="str">
        <f t="shared" si="4"/>
        <v>54933.5024</v>
      </c>
      <c r="H23" s="16">
        <f t="shared" si="5"/>
        <v>6738.5</v>
      </c>
      <c r="I23" s="39" t="s">
        <v>161</v>
      </c>
      <c r="J23" s="40" t="s">
        <v>162</v>
      </c>
      <c r="K23" s="39" t="s">
        <v>236</v>
      </c>
      <c r="L23" s="39" t="s">
        <v>128</v>
      </c>
      <c r="M23" s="40" t="s">
        <v>116</v>
      </c>
      <c r="N23" s="40" t="s">
        <v>117</v>
      </c>
      <c r="O23" s="41" t="s">
        <v>137</v>
      </c>
      <c r="P23" s="42" t="s">
        <v>163</v>
      </c>
    </row>
    <row r="24" spans="1:16" ht="12.75" customHeight="1" thickBot="1">
      <c r="A24" s="16" t="str">
        <f t="shared" si="0"/>
        <v>IBVS 5894 </v>
      </c>
      <c r="B24" s="3" t="str">
        <f t="shared" si="1"/>
        <v>I</v>
      </c>
      <c r="C24" s="16">
        <f t="shared" si="2"/>
        <v>54961.8511</v>
      </c>
      <c r="D24" s="15" t="str">
        <f t="shared" si="3"/>
        <v>vis</v>
      </c>
      <c r="E24" s="51">
        <f>VLOOKUP(C24,Active!C$21:E$973,3,FALSE)</f>
        <v>6263.0597924212616</v>
      </c>
      <c r="F24" s="3" t="s">
        <v>69</v>
      </c>
      <c r="G24" s="15" t="str">
        <f t="shared" si="4"/>
        <v>54961.8511</v>
      </c>
      <c r="H24" s="16">
        <f t="shared" si="5"/>
        <v>6817</v>
      </c>
      <c r="I24" s="39" t="s">
        <v>164</v>
      </c>
      <c r="J24" s="40" t="s">
        <v>165</v>
      </c>
      <c r="K24" s="39" t="s">
        <v>237</v>
      </c>
      <c r="L24" s="39" t="s">
        <v>166</v>
      </c>
      <c r="M24" s="40" t="s">
        <v>116</v>
      </c>
      <c r="N24" s="40" t="s">
        <v>69</v>
      </c>
      <c r="O24" s="41" t="s">
        <v>167</v>
      </c>
      <c r="P24" s="42" t="s">
        <v>168</v>
      </c>
    </row>
    <row r="25" spans="1:16" ht="12.75" customHeight="1" thickBot="1">
      <c r="A25" s="16" t="str">
        <f t="shared" si="0"/>
        <v>BAVM 209 </v>
      </c>
      <c r="B25" s="3" t="str">
        <f t="shared" si="1"/>
        <v>II</v>
      </c>
      <c r="C25" s="16">
        <f t="shared" si="2"/>
        <v>54968.530500000001</v>
      </c>
      <c r="D25" s="15" t="str">
        <f t="shared" si="3"/>
        <v>vis</v>
      </c>
      <c r="E25" s="51">
        <f>VLOOKUP(C25,Active!C$21:E$973,3,FALSE)</f>
        <v>6281.5563420064391</v>
      </c>
      <c r="F25" s="3" t="s">
        <v>69</v>
      </c>
      <c r="G25" s="15" t="str">
        <f t="shared" si="4"/>
        <v>54968.5305</v>
      </c>
      <c r="H25" s="16">
        <f t="shared" si="5"/>
        <v>6835.5</v>
      </c>
      <c r="I25" s="39" t="s">
        <v>169</v>
      </c>
      <c r="J25" s="40" t="s">
        <v>170</v>
      </c>
      <c r="K25" s="39" t="s">
        <v>238</v>
      </c>
      <c r="L25" s="39" t="s">
        <v>133</v>
      </c>
      <c r="M25" s="40" t="s">
        <v>116</v>
      </c>
      <c r="N25" s="40" t="s">
        <v>117</v>
      </c>
      <c r="O25" s="41" t="s">
        <v>137</v>
      </c>
      <c r="P25" s="42" t="s">
        <v>163</v>
      </c>
    </row>
    <row r="26" spans="1:16" ht="12.75" customHeight="1" thickBot="1">
      <c r="A26" s="16" t="str">
        <f t="shared" si="0"/>
        <v>IBVS 5920 </v>
      </c>
      <c r="B26" s="3" t="str">
        <f t="shared" si="1"/>
        <v>II</v>
      </c>
      <c r="C26" s="16">
        <f t="shared" si="2"/>
        <v>55015.4787</v>
      </c>
      <c r="D26" s="15" t="str">
        <f t="shared" si="3"/>
        <v>vis</v>
      </c>
      <c r="E26" s="51">
        <f>VLOOKUP(C26,Active!C$21:E$973,3,FALSE)</f>
        <v>6411.5649818894653</v>
      </c>
      <c r="F26" s="3" t="s">
        <v>69</v>
      </c>
      <c r="G26" s="15" t="str">
        <f t="shared" si="4"/>
        <v>55015.4787</v>
      </c>
      <c r="H26" s="16">
        <f t="shared" si="5"/>
        <v>6965.5</v>
      </c>
      <c r="I26" s="39" t="s">
        <v>171</v>
      </c>
      <c r="J26" s="40" t="s">
        <v>172</v>
      </c>
      <c r="K26" s="39" t="s">
        <v>239</v>
      </c>
      <c r="L26" s="39" t="s">
        <v>173</v>
      </c>
      <c r="M26" s="40" t="s">
        <v>116</v>
      </c>
      <c r="N26" s="40" t="s">
        <v>61</v>
      </c>
      <c r="O26" s="41" t="s">
        <v>76</v>
      </c>
      <c r="P26" s="42" t="s">
        <v>174</v>
      </c>
    </row>
    <row r="27" spans="1:16" ht="12.75" customHeight="1" thickBot="1">
      <c r="A27" s="16" t="str">
        <f t="shared" si="0"/>
        <v>BAVM 214 </v>
      </c>
      <c r="B27" s="3" t="str">
        <f t="shared" si="1"/>
        <v>I</v>
      </c>
      <c r="C27" s="16">
        <f t="shared" si="2"/>
        <v>55315.385300000002</v>
      </c>
      <c r="D27" s="15" t="str">
        <f t="shared" si="3"/>
        <v>vis</v>
      </c>
      <c r="E27" s="51">
        <f>VLOOKUP(C27,Active!C$21:E$973,3,FALSE)</f>
        <v>7242.0643228214713</v>
      </c>
      <c r="F27" s="3" t="s">
        <v>69</v>
      </c>
      <c r="G27" s="15" t="str">
        <f t="shared" si="4"/>
        <v>55315.3853</v>
      </c>
      <c r="H27" s="16">
        <f t="shared" si="5"/>
        <v>7796</v>
      </c>
      <c r="I27" s="39" t="s">
        <v>175</v>
      </c>
      <c r="J27" s="40" t="s">
        <v>176</v>
      </c>
      <c r="K27" s="39" t="s">
        <v>240</v>
      </c>
      <c r="L27" s="39" t="s">
        <v>150</v>
      </c>
      <c r="M27" s="40" t="s">
        <v>116</v>
      </c>
      <c r="N27" s="40" t="s">
        <v>117</v>
      </c>
      <c r="O27" s="41" t="s">
        <v>137</v>
      </c>
      <c r="P27" s="42" t="s">
        <v>177</v>
      </c>
    </row>
    <row r="28" spans="1:16" ht="12.75" customHeight="1" thickBot="1">
      <c r="A28" s="16" t="str">
        <f t="shared" si="0"/>
        <v>BAVM 214 </v>
      </c>
      <c r="B28" s="3" t="str">
        <f t="shared" si="1"/>
        <v>II</v>
      </c>
      <c r="C28" s="16">
        <f t="shared" si="2"/>
        <v>55315.565999999999</v>
      </c>
      <c r="D28" s="15" t="str">
        <f t="shared" si="3"/>
        <v>vis</v>
      </c>
      <c r="E28" s="51">
        <f>VLOOKUP(C28,Active!C$21:E$973,3,FALSE)</f>
        <v>7242.5647160469089</v>
      </c>
      <c r="F28" s="3" t="s">
        <v>69</v>
      </c>
      <c r="G28" s="15" t="str">
        <f t="shared" si="4"/>
        <v>55315.5660</v>
      </c>
      <c r="H28" s="16">
        <f t="shared" si="5"/>
        <v>7796.5</v>
      </c>
      <c r="I28" s="39" t="s">
        <v>178</v>
      </c>
      <c r="J28" s="40" t="s">
        <v>179</v>
      </c>
      <c r="K28" s="39" t="s">
        <v>241</v>
      </c>
      <c r="L28" s="39" t="s">
        <v>180</v>
      </c>
      <c r="M28" s="40" t="s">
        <v>116</v>
      </c>
      <c r="N28" s="40" t="s">
        <v>117</v>
      </c>
      <c r="O28" s="41" t="s">
        <v>137</v>
      </c>
      <c r="P28" s="42" t="s">
        <v>177</v>
      </c>
    </row>
    <row r="29" spans="1:16" ht="12.75" customHeight="1" thickBot="1">
      <c r="A29" s="16" t="str">
        <f t="shared" si="0"/>
        <v>IBVS 5960 </v>
      </c>
      <c r="B29" s="3" t="str">
        <f t="shared" si="1"/>
        <v>I</v>
      </c>
      <c r="C29" s="16">
        <f t="shared" si="2"/>
        <v>55398.441400000003</v>
      </c>
      <c r="D29" s="15" t="str">
        <f t="shared" si="3"/>
        <v>vis</v>
      </c>
      <c r="E29" s="51">
        <f>VLOOKUP(C29,Active!C$21:E$973,3,FALSE)</f>
        <v>7472.0627166893737</v>
      </c>
      <c r="F29" s="3" t="s">
        <v>69</v>
      </c>
      <c r="G29" s="15" t="str">
        <f t="shared" si="4"/>
        <v>55398.4414</v>
      </c>
      <c r="H29" s="16">
        <f t="shared" si="5"/>
        <v>8026</v>
      </c>
      <c r="I29" s="39" t="s">
        <v>181</v>
      </c>
      <c r="J29" s="40" t="s">
        <v>182</v>
      </c>
      <c r="K29" s="39" t="s">
        <v>242</v>
      </c>
      <c r="L29" s="39" t="s">
        <v>183</v>
      </c>
      <c r="M29" s="40" t="s">
        <v>116</v>
      </c>
      <c r="N29" s="40" t="s">
        <v>61</v>
      </c>
      <c r="O29" s="41" t="s">
        <v>76</v>
      </c>
      <c r="P29" s="42" t="s">
        <v>184</v>
      </c>
    </row>
    <row r="30" spans="1:16" ht="12.75" customHeight="1" thickBot="1">
      <c r="A30" s="16" t="str">
        <f t="shared" si="0"/>
        <v>OEJV 0160 </v>
      </c>
      <c r="B30" s="3" t="str">
        <f t="shared" si="1"/>
        <v>I</v>
      </c>
      <c r="C30" s="16">
        <f t="shared" si="2"/>
        <v>55625.588969999997</v>
      </c>
      <c r="D30" s="15" t="str">
        <f t="shared" si="3"/>
        <v>vis</v>
      </c>
      <c r="E30" s="51">
        <f>VLOOKUP(C30,Active!C$21:E$973,3,FALSE)</f>
        <v>8101.0782407868764</v>
      </c>
      <c r="F30" s="3" t="s">
        <v>69</v>
      </c>
      <c r="G30" s="15" t="str">
        <f t="shared" si="4"/>
        <v>55625.58897</v>
      </c>
      <c r="H30" s="16">
        <f t="shared" si="5"/>
        <v>8655</v>
      </c>
      <c r="I30" s="39" t="s">
        <v>185</v>
      </c>
      <c r="J30" s="40" t="s">
        <v>186</v>
      </c>
      <c r="K30" s="39" t="s">
        <v>243</v>
      </c>
      <c r="L30" s="39" t="s">
        <v>187</v>
      </c>
      <c r="M30" s="40" t="s">
        <v>116</v>
      </c>
      <c r="N30" s="40" t="s">
        <v>129</v>
      </c>
      <c r="O30" s="41" t="s">
        <v>188</v>
      </c>
      <c r="P30" s="42" t="s">
        <v>189</v>
      </c>
    </row>
    <row r="31" spans="1:16" ht="12.75" customHeight="1" thickBot="1">
      <c r="A31" s="16" t="str">
        <f t="shared" si="0"/>
        <v>IBVS 5992 </v>
      </c>
      <c r="B31" s="3" t="str">
        <f t="shared" si="1"/>
        <v>II</v>
      </c>
      <c r="C31" s="16">
        <f t="shared" si="2"/>
        <v>55644.906300000002</v>
      </c>
      <c r="D31" s="15" t="str">
        <f t="shared" si="3"/>
        <v>vis</v>
      </c>
      <c r="E31" s="51">
        <f>VLOOKUP(C31,Active!C$21:E$973,3,FALSE)</f>
        <v>8154.5716611836615</v>
      </c>
      <c r="F31" s="3" t="s">
        <v>69</v>
      </c>
      <c r="G31" s="15" t="str">
        <f t="shared" si="4"/>
        <v>55644.9063</v>
      </c>
      <c r="H31" s="16">
        <f t="shared" si="5"/>
        <v>8708.5</v>
      </c>
      <c r="I31" s="39" t="s">
        <v>190</v>
      </c>
      <c r="J31" s="40" t="s">
        <v>191</v>
      </c>
      <c r="K31" s="39" t="s">
        <v>244</v>
      </c>
      <c r="L31" s="39" t="s">
        <v>150</v>
      </c>
      <c r="M31" s="40" t="s">
        <v>116</v>
      </c>
      <c r="N31" s="40" t="s">
        <v>69</v>
      </c>
      <c r="O31" s="41" t="s">
        <v>167</v>
      </c>
      <c r="P31" s="42" t="s">
        <v>192</v>
      </c>
    </row>
    <row r="32" spans="1:16" ht="12.75" customHeight="1" thickBot="1">
      <c r="A32" s="16" t="str">
        <f t="shared" si="0"/>
        <v>OEJV 0160 </v>
      </c>
      <c r="B32" s="3" t="str">
        <f t="shared" si="1"/>
        <v>II</v>
      </c>
      <c r="C32" s="16">
        <f t="shared" si="2"/>
        <v>55649.601949999997</v>
      </c>
      <c r="D32" s="15" t="str">
        <f t="shared" si="3"/>
        <v>vis</v>
      </c>
      <c r="E32" s="51">
        <f>VLOOKUP(C32,Active!C$21:E$973,3,FALSE)</f>
        <v>8167.5748236023692</v>
      </c>
      <c r="F32" s="3" t="s">
        <v>69</v>
      </c>
      <c r="G32" s="15" t="str">
        <f t="shared" si="4"/>
        <v>55649.60195</v>
      </c>
      <c r="H32" s="16">
        <f t="shared" si="5"/>
        <v>8721.5</v>
      </c>
      <c r="I32" s="39" t="s">
        <v>193</v>
      </c>
      <c r="J32" s="40" t="s">
        <v>194</v>
      </c>
      <c r="K32" s="39" t="s">
        <v>245</v>
      </c>
      <c r="L32" s="39" t="s">
        <v>195</v>
      </c>
      <c r="M32" s="40" t="s">
        <v>116</v>
      </c>
      <c r="N32" s="40" t="s">
        <v>129</v>
      </c>
      <c r="O32" s="41" t="s">
        <v>188</v>
      </c>
      <c r="P32" s="42" t="s">
        <v>189</v>
      </c>
    </row>
    <row r="33" spans="1:16" ht="12.75" customHeight="1" thickBot="1">
      <c r="A33" s="16" t="str">
        <f t="shared" si="0"/>
        <v>BAVM 220 </v>
      </c>
      <c r="B33" s="3" t="str">
        <f t="shared" si="1"/>
        <v>I</v>
      </c>
      <c r="C33" s="16">
        <f t="shared" si="2"/>
        <v>55654.477700000003</v>
      </c>
      <c r="D33" s="15" t="str">
        <f t="shared" si="3"/>
        <v>vis</v>
      </c>
      <c r="E33" s="51">
        <f>VLOOKUP(C33,Active!C$21:E$973,3,FALSE)</f>
        <v>8181.0767177305897</v>
      </c>
      <c r="F33" s="3" t="s">
        <v>69</v>
      </c>
      <c r="G33" s="15" t="str">
        <f t="shared" si="4"/>
        <v>55654.4777</v>
      </c>
      <c r="H33" s="16">
        <f t="shared" si="5"/>
        <v>8735</v>
      </c>
      <c r="I33" s="39" t="s">
        <v>196</v>
      </c>
      <c r="J33" s="40" t="s">
        <v>197</v>
      </c>
      <c r="K33" s="39" t="s">
        <v>246</v>
      </c>
      <c r="L33" s="39" t="s">
        <v>106</v>
      </c>
      <c r="M33" s="40" t="s">
        <v>116</v>
      </c>
      <c r="N33" s="40" t="s">
        <v>117</v>
      </c>
      <c r="O33" s="41" t="s">
        <v>137</v>
      </c>
      <c r="P33" s="42" t="s">
        <v>198</v>
      </c>
    </row>
    <row r="34" spans="1:16" ht="12.75" customHeight="1" thickBot="1">
      <c r="A34" s="16" t="str">
        <f t="shared" si="0"/>
        <v>BAVM 220 </v>
      </c>
      <c r="B34" s="3" t="str">
        <f t="shared" si="1"/>
        <v>I</v>
      </c>
      <c r="C34" s="16">
        <f t="shared" si="2"/>
        <v>55671.451200000003</v>
      </c>
      <c r="D34" s="15" t="str">
        <f t="shared" si="3"/>
        <v>vis</v>
      </c>
      <c r="E34" s="51">
        <f>VLOOKUP(C34,Active!C$21:E$973,3,FALSE)</f>
        <v>8228.0796198451462</v>
      </c>
      <c r="F34" s="3" t="s">
        <v>69</v>
      </c>
      <c r="G34" s="15" t="str">
        <f t="shared" si="4"/>
        <v>55671.4512</v>
      </c>
      <c r="H34" s="16">
        <f t="shared" si="5"/>
        <v>8782</v>
      </c>
      <c r="I34" s="39" t="s">
        <v>199</v>
      </c>
      <c r="J34" s="40" t="s">
        <v>200</v>
      </c>
      <c r="K34" s="39" t="s">
        <v>247</v>
      </c>
      <c r="L34" s="39" t="s">
        <v>173</v>
      </c>
      <c r="M34" s="40" t="s">
        <v>116</v>
      </c>
      <c r="N34" s="40" t="s">
        <v>123</v>
      </c>
      <c r="O34" s="41" t="s">
        <v>201</v>
      </c>
      <c r="P34" s="42" t="s">
        <v>198</v>
      </c>
    </row>
    <row r="35" spans="1:16" ht="12.75" customHeight="1" thickBot="1">
      <c r="A35" s="16" t="str">
        <f t="shared" si="0"/>
        <v>OEJV 0160 </v>
      </c>
      <c r="B35" s="3" t="str">
        <f t="shared" si="1"/>
        <v>I</v>
      </c>
      <c r="C35" s="16">
        <f t="shared" si="2"/>
        <v>55672.533799999997</v>
      </c>
      <c r="D35" s="15" t="str">
        <f t="shared" si="3"/>
        <v>vis</v>
      </c>
      <c r="E35" s="51">
        <f>VLOOKUP(C35,Active!C$21:E$973,3,FALSE)</f>
        <v>8231.077548488558</v>
      </c>
      <c r="F35" s="3" t="s">
        <v>69</v>
      </c>
      <c r="G35" s="15" t="str">
        <f t="shared" si="4"/>
        <v>55672.5338</v>
      </c>
      <c r="H35" s="16">
        <f t="shared" si="5"/>
        <v>8785</v>
      </c>
      <c r="I35" s="39" t="s">
        <v>202</v>
      </c>
      <c r="J35" s="40" t="s">
        <v>203</v>
      </c>
      <c r="K35" s="39" t="s">
        <v>248</v>
      </c>
      <c r="L35" s="39" t="s">
        <v>204</v>
      </c>
      <c r="M35" s="40" t="s">
        <v>116</v>
      </c>
      <c r="N35" s="40" t="s">
        <v>129</v>
      </c>
      <c r="O35" s="41" t="s">
        <v>188</v>
      </c>
      <c r="P35" s="42" t="s">
        <v>189</v>
      </c>
    </row>
    <row r="36" spans="1:16" ht="12.75" customHeight="1" thickBot="1">
      <c r="A36" s="16" t="str">
        <f t="shared" si="0"/>
        <v>IBVS 5992 </v>
      </c>
      <c r="B36" s="3" t="str">
        <f t="shared" si="1"/>
        <v>II</v>
      </c>
      <c r="C36" s="16">
        <f t="shared" si="2"/>
        <v>55695.825100000002</v>
      </c>
      <c r="D36" s="15" t="str">
        <f t="shared" si="3"/>
        <v>vis</v>
      </c>
      <c r="E36" s="51">
        <f>VLOOKUP(C36,Active!C$21:E$973,3,FALSE)</f>
        <v>8295.5756598987537</v>
      </c>
      <c r="F36" s="3" t="s">
        <v>69</v>
      </c>
      <c r="G36" s="15" t="str">
        <f t="shared" si="4"/>
        <v>55695.8251</v>
      </c>
      <c r="H36" s="16">
        <f t="shared" si="5"/>
        <v>8849.5</v>
      </c>
      <c r="I36" s="39" t="s">
        <v>205</v>
      </c>
      <c r="J36" s="40" t="s">
        <v>206</v>
      </c>
      <c r="K36" s="39" t="s">
        <v>249</v>
      </c>
      <c r="L36" s="39" t="s">
        <v>207</v>
      </c>
      <c r="M36" s="40" t="s">
        <v>116</v>
      </c>
      <c r="N36" s="40" t="s">
        <v>69</v>
      </c>
      <c r="O36" s="41" t="s">
        <v>167</v>
      </c>
      <c r="P36" s="42" t="s">
        <v>192</v>
      </c>
    </row>
    <row r="37" spans="1:16" ht="12.75" customHeight="1" thickBot="1">
      <c r="A37" s="16" t="str">
        <f t="shared" si="0"/>
        <v>OEJV 0160 </v>
      </c>
      <c r="B37" s="3" t="str">
        <f t="shared" si="1"/>
        <v>II</v>
      </c>
      <c r="C37" s="16">
        <f t="shared" si="2"/>
        <v>56008.557050000003</v>
      </c>
      <c r="D37" s="15" t="str">
        <f t="shared" si="3"/>
        <v>vis</v>
      </c>
      <c r="E37" s="51">
        <f>VLOOKUP(C37,Active!C$21:E$973,3,FALSE)</f>
        <v>9161.5908738466296</v>
      </c>
      <c r="F37" s="3" t="s">
        <v>69</v>
      </c>
      <c r="G37" s="15" t="str">
        <f t="shared" si="4"/>
        <v>56008.55705</v>
      </c>
      <c r="H37" s="16">
        <f t="shared" si="5"/>
        <v>9715.5</v>
      </c>
      <c r="I37" s="39" t="s">
        <v>208</v>
      </c>
      <c r="J37" s="40" t="s">
        <v>209</v>
      </c>
      <c r="K37" s="39" t="s">
        <v>250</v>
      </c>
      <c r="L37" s="39" t="s">
        <v>210</v>
      </c>
      <c r="M37" s="40" t="s">
        <v>116</v>
      </c>
      <c r="N37" s="40" t="s">
        <v>129</v>
      </c>
      <c r="O37" s="41" t="s">
        <v>188</v>
      </c>
      <c r="P37" s="42" t="s">
        <v>189</v>
      </c>
    </row>
    <row r="38" spans="1:16" ht="12.75" customHeight="1" thickBot="1">
      <c r="A38" s="16" t="str">
        <f t="shared" si="0"/>
        <v>BAVM 228 </v>
      </c>
      <c r="B38" s="3" t="str">
        <f t="shared" si="1"/>
        <v>I</v>
      </c>
      <c r="C38" s="16">
        <f t="shared" si="2"/>
        <v>56009.458500000001</v>
      </c>
      <c r="D38" s="15" t="str">
        <f t="shared" si="3"/>
        <v>vis</v>
      </c>
      <c r="E38" s="51">
        <f>VLOOKUP(C38,Active!C$21:E$973,3,FALSE)</f>
        <v>9164.0871631276295</v>
      </c>
      <c r="F38" s="3" t="s">
        <v>69</v>
      </c>
      <c r="G38" s="15" t="str">
        <f t="shared" si="4"/>
        <v>56009.4585</v>
      </c>
      <c r="H38" s="16">
        <f t="shared" si="5"/>
        <v>9718</v>
      </c>
      <c r="I38" s="39" t="s">
        <v>211</v>
      </c>
      <c r="J38" s="40" t="s">
        <v>212</v>
      </c>
      <c r="K38" s="39" t="s">
        <v>251</v>
      </c>
      <c r="L38" s="39" t="s">
        <v>173</v>
      </c>
      <c r="M38" s="40" t="s">
        <v>116</v>
      </c>
      <c r="N38" s="40" t="s">
        <v>117</v>
      </c>
      <c r="O38" s="41" t="s">
        <v>137</v>
      </c>
      <c r="P38" s="42" t="s">
        <v>213</v>
      </c>
    </row>
    <row r="39" spans="1:16" ht="12.75" customHeight="1" thickBot="1">
      <c r="A39" s="16" t="str">
        <f t="shared" si="0"/>
        <v>BAVM 228 </v>
      </c>
      <c r="B39" s="3" t="str">
        <f t="shared" si="1"/>
        <v>II</v>
      </c>
      <c r="C39" s="16">
        <f t="shared" si="2"/>
        <v>56009.639799999997</v>
      </c>
      <c r="D39" s="15" t="str">
        <f t="shared" si="3"/>
        <v>vis</v>
      </c>
      <c r="E39" s="51">
        <f>VLOOKUP(C39,Active!C$21:E$973,3,FALSE)</f>
        <v>9164.5892178690337</v>
      </c>
      <c r="F39" s="3" t="s">
        <v>69</v>
      </c>
      <c r="G39" s="15" t="str">
        <f t="shared" si="4"/>
        <v>56009.6398</v>
      </c>
      <c r="H39" s="16">
        <f t="shared" si="5"/>
        <v>9718.5</v>
      </c>
      <c r="I39" s="39" t="s">
        <v>214</v>
      </c>
      <c r="J39" s="40" t="s">
        <v>215</v>
      </c>
      <c r="K39" s="39" t="s">
        <v>252</v>
      </c>
      <c r="L39" s="39" t="s">
        <v>216</v>
      </c>
      <c r="M39" s="40" t="s">
        <v>116</v>
      </c>
      <c r="N39" s="40" t="s">
        <v>117</v>
      </c>
      <c r="O39" s="41" t="s">
        <v>137</v>
      </c>
      <c r="P39" s="42" t="s">
        <v>213</v>
      </c>
    </row>
    <row r="40" spans="1:16" ht="12.75" customHeight="1" thickBot="1">
      <c r="A40" s="16" t="str">
        <f t="shared" si="0"/>
        <v>BAVM 228 </v>
      </c>
      <c r="B40" s="3" t="str">
        <f t="shared" si="1"/>
        <v>II</v>
      </c>
      <c r="C40" s="16">
        <f t="shared" si="2"/>
        <v>56015.416700000002</v>
      </c>
      <c r="D40" s="15" t="str">
        <f t="shared" si="3"/>
        <v>vis</v>
      </c>
      <c r="E40" s="51">
        <f>VLOOKUP(C40,Active!C$21:E$973,3,FALSE)</f>
        <v>9180.5865705202705</v>
      </c>
      <c r="F40" s="3" t="s">
        <v>69</v>
      </c>
      <c r="G40" s="15" t="str">
        <f t="shared" si="4"/>
        <v>56015.4167</v>
      </c>
      <c r="H40" s="16">
        <f t="shared" si="5"/>
        <v>9734.5</v>
      </c>
      <c r="I40" s="39" t="s">
        <v>217</v>
      </c>
      <c r="J40" s="40" t="s">
        <v>218</v>
      </c>
      <c r="K40" s="39" t="s">
        <v>253</v>
      </c>
      <c r="L40" s="39" t="s">
        <v>219</v>
      </c>
      <c r="M40" s="40" t="s">
        <v>116</v>
      </c>
      <c r="N40" s="40" t="s">
        <v>117</v>
      </c>
      <c r="O40" s="41" t="s">
        <v>137</v>
      </c>
      <c r="P40" s="42" t="s">
        <v>213</v>
      </c>
    </row>
    <row r="41" spans="1:16" ht="12.75" customHeight="1" thickBot="1">
      <c r="A41" s="16" t="str">
        <f t="shared" si="0"/>
        <v>BAVM 228 </v>
      </c>
      <c r="B41" s="3" t="str">
        <f t="shared" si="1"/>
        <v>I</v>
      </c>
      <c r="C41" s="16">
        <f t="shared" si="2"/>
        <v>56015.598599999998</v>
      </c>
      <c r="D41" s="15" t="str">
        <f t="shared" si="3"/>
        <v>vis</v>
      </c>
      <c r="E41" s="51">
        <f>VLOOKUP(C41,Active!C$21:E$973,3,FALSE)</f>
        <v>9181.0902867776404</v>
      </c>
      <c r="F41" s="3" t="s">
        <v>69</v>
      </c>
      <c r="G41" s="15" t="str">
        <f t="shared" si="4"/>
        <v>56015.5986</v>
      </c>
      <c r="H41" s="16">
        <f t="shared" si="5"/>
        <v>9735</v>
      </c>
      <c r="I41" s="39" t="s">
        <v>220</v>
      </c>
      <c r="J41" s="40" t="s">
        <v>221</v>
      </c>
      <c r="K41" s="39" t="s">
        <v>254</v>
      </c>
      <c r="L41" s="39" t="s">
        <v>222</v>
      </c>
      <c r="M41" s="40" t="s">
        <v>116</v>
      </c>
      <c r="N41" s="40" t="s">
        <v>117</v>
      </c>
      <c r="O41" s="41" t="s">
        <v>137</v>
      </c>
      <c r="P41" s="42" t="s">
        <v>213</v>
      </c>
    </row>
    <row r="42" spans="1:16" ht="12.75" customHeight="1" thickBot="1">
      <c r="A42" s="16" t="str">
        <f t="shared" si="0"/>
        <v>OEJV 0160 </v>
      </c>
      <c r="B42" s="3" t="str">
        <f t="shared" si="1"/>
        <v>II</v>
      </c>
      <c r="C42" s="16">
        <f t="shared" si="2"/>
        <v>56355.587480000002</v>
      </c>
      <c r="D42" s="15" t="str">
        <f t="shared" si="3"/>
        <v>vis</v>
      </c>
      <c r="E42" s="51">
        <f>VLOOKUP(C42,Active!C$21:E$973,3,FALSE)</f>
        <v>10122.585208077178</v>
      </c>
      <c r="F42" s="3" t="s">
        <v>69</v>
      </c>
      <c r="G42" s="15" t="str">
        <f t="shared" si="4"/>
        <v>56355.58748</v>
      </c>
      <c r="H42" s="16">
        <f t="shared" si="5"/>
        <v>10676.5</v>
      </c>
      <c r="I42" s="39" t="s">
        <v>223</v>
      </c>
      <c r="J42" s="40" t="s">
        <v>224</v>
      </c>
      <c r="K42" s="39" t="s">
        <v>255</v>
      </c>
      <c r="L42" s="39" t="s">
        <v>225</v>
      </c>
      <c r="M42" s="40" t="s">
        <v>116</v>
      </c>
      <c r="N42" s="40" t="s">
        <v>129</v>
      </c>
      <c r="O42" s="41" t="s">
        <v>188</v>
      </c>
      <c r="P42" s="42" t="s">
        <v>189</v>
      </c>
    </row>
    <row r="43" spans="1:16" ht="12.75" customHeight="1" thickBot="1">
      <c r="A43" s="16" t="str">
        <f t="shared" si="0"/>
        <v> BBS 125 </v>
      </c>
      <c r="B43" s="3" t="str">
        <f t="shared" si="1"/>
        <v>II</v>
      </c>
      <c r="C43" s="16">
        <f t="shared" si="2"/>
        <v>51996.528700000003</v>
      </c>
      <c r="D43" s="15" t="str">
        <f t="shared" si="3"/>
        <v>vis</v>
      </c>
      <c r="E43" s="51">
        <f>VLOOKUP(C43,Active!C$21:E$973,3,FALSE)</f>
        <v>-1948.4910665824857</v>
      </c>
      <c r="F43" s="3" t="s">
        <v>69</v>
      </c>
      <c r="G43" s="15" t="str">
        <f t="shared" si="4"/>
        <v>51996.5287</v>
      </c>
      <c r="H43" s="16">
        <f t="shared" si="5"/>
        <v>-1394.5</v>
      </c>
      <c r="I43" s="39" t="s">
        <v>71</v>
      </c>
      <c r="J43" s="40" t="s">
        <v>72</v>
      </c>
      <c r="K43" s="39">
        <v>-1394.5</v>
      </c>
      <c r="L43" s="39" t="s">
        <v>73</v>
      </c>
      <c r="M43" s="40" t="s">
        <v>74</v>
      </c>
      <c r="N43" s="40" t="s">
        <v>75</v>
      </c>
      <c r="O43" s="41" t="s">
        <v>76</v>
      </c>
      <c r="P43" s="41" t="s">
        <v>77</v>
      </c>
    </row>
    <row r="44" spans="1:16" ht="12.75" customHeight="1" thickBot="1">
      <c r="A44" s="16" t="str">
        <f t="shared" si="0"/>
        <v> BBS 125 </v>
      </c>
      <c r="B44" s="3" t="str">
        <f t="shared" si="1"/>
        <v>I</v>
      </c>
      <c r="C44" s="16">
        <f t="shared" si="2"/>
        <v>52001.403400000003</v>
      </c>
      <c r="D44" s="15" t="str">
        <f t="shared" si="3"/>
        <v>vis</v>
      </c>
      <c r="E44" s="51">
        <f>VLOOKUP(C44,Active!C$21:E$973,3,FALSE)</f>
        <v>-1934.9920801072249</v>
      </c>
      <c r="F44" s="3" t="s">
        <v>69</v>
      </c>
      <c r="G44" s="15" t="str">
        <f t="shared" si="4"/>
        <v>52001.4034</v>
      </c>
      <c r="H44" s="16">
        <f t="shared" si="5"/>
        <v>-1381</v>
      </c>
      <c r="I44" s="39" t="s">
        <v>78</v>
      </c>
      <c r="J44" s="40" t="s">
        <v>79</v>
      </c>
      <c r="K44" s="39">
        <v>-1381</v>
      </c>
      <c r="L44" s="39" t="s">
        <v>80</v>
      </c>
      <c r="M44" s="40" t="s">
        <v>74</v>
      </c>
      <c r="N44" s="40" t="s">
        <v>75</v>
      </c>
      <c r="O44" s="41" t="s">
        <v>76</v>
      </c>
      <c r="P44" s="41" t="s">
        <v>77</v>
      </c>
    </row>
    <row r="45" spans="1:16" ht="12.75" customHeight="1" thickBot="1">
      <c r="A45" s="16" t="str">
        <f t="shared" si="0"/>
        <v> BBS 125 </v>
      </c>
      <c r="B45" s="3" t="str">
        <f t="shared" si="1"/>
        <v>II</v>
      </c>
      <c r="C45" s="16">
        <f t="shared" si="2"/>
        <v>52001.583599999998</v>
      </c>
      <c r="D45" s="15" t="str">
        <f t="shared" si="3"/>
        <v>vis</v>
      </c>
      <c r="E45" s="51">
        <f>VLOOKUP(C45,Active!C$21:E$973,3,FALSE)</f>
        <v>-1934.4930714784318</v>
      </c>
      <c r="F45" s="3" t="s">
        <v>69</v>
      </c>
      <c r="G45" s="15" t="str">
        <f t="shared" si="4"/>
        <v>52001.5836</v>
      </c>
      <c r="H45" s="16">
        <f t="shared" si="5"/>
        <v>-1380.5</v>
      </c>
      <c r="I45" s="39" t="s">
        <v>81</v>
      </c>
      <c r="J45" s="40" t="s">
        <v>82</v>
      </c>
      <c r="K45" s="39">
        <v>-1380.5</v>
      </c>
      <c r="L45" s="39" t="s">
        <v>83</v>
      </c>
      <c r="M45" s="40" t="s">
        <v>74</v>
      </c>
      <c r="N45" s="40" t="s">
        <v>75</v>
      </c>
      <c r="O45" s="41" t="s">
        <v>76</v>
      </c>
      <c r="P45" s="41" t="s">
        <v>77</v>
      </c>
    </row>
    <row r="46" spans="1:16" ht="12.75" customHeight="1" thickBot="1">
      <c r="A46" s="16" t="str">
        <f t="shared" si="0"/>
        <v> BBS 125 </v>
      </c>
      <c r="B46" s="3" t="str">
        <f t="shared" si="1"/>
        <v>I</v>
      </c>
      <c r="C46" s="16">
        <f t="shared" si="2"/>
        <v>52022.350700000003</v>
      </c>
      <c r="D46" s="15" t="str">
        <f t="shared" si="3"/>
        <v>vis</v>
      </c>
      <c r="E46" s="51">
        <f>VLOOKUP(C46,Active!C$21:E$973,3,FALSE)</f>
        <v>-1876.9849577421128</v>
      </c>
      <c r="F46" s="3" t="s">
        <v>69</v>
      </c>
      <c r="G46" s="15" t="str">
        <f t="shared" si="4"/>
        <v>52022.3507</v>
      </c>
      <c r="H46" s="16">
        <f t="shared" si="5"/>
        <v>-1323</v>
      </c>
      <c r="I46" s="39" t="s">
        <v>84</v>
      </c>
      <c r="J46" s="40" t="s">
        <v>85</v>
      </c>
      <c r="K46" s="39">
        <v>-1323</v>
      </c>
      <c r="L46" s="39" t="s">
        <v>86</v>
      </c>
      <c r="M46" s="40" t="s">
        <v>74</v>
      </c>
      <c r="N46" s="40" t="s">
        <v>75</v>
      </c>
      <c r="O46" s="41" t="s">
        <v>76</v>
      </c>
      <c r="P46" s="41" t="s">
        <v>77</v>
      </c>
    </row>
    <row r="47" spans="1:16" ht="12.75" customHeight="1" thickBot="1">
      <c r="A47" s="16" t="str">
        <f t="shared" si="0"/>
        <v> BBS 125 </v>
      </c>
      <c r="B47" s="3" t="str">
        <f t="shared" si="1"/>
        <v>II</v>
      </c>
      <c r="C47" s="16">
        <f t="shared" si="2"/>
        <v>52022.5291</v>
      </c>
      <c r="D47" s="15" t="str">
        <f t="shared" si="3"/>
        <v>vis</v>
      </c>
      <c r="E47" s="51">
        <f>VLOOKUP(C47,Active!C$21:E$973,3,FALSE)</f>
        <v>-1876.4909336612163</v>
      </c>
      <c r="F47" s="3" t="s">
        <v>69</v>
      </c>
      <c r="G47" s="15" t="str">
        <f t="shared" si="4"/>
        <v>52022.5291</v>
      </c>
      <c r="H47" s="16">
        <f t="shared" si="5"/>
        <v>-1322.5</v>
      </c>
      <c r="I47" s="39" t="s">
        <v>87</v>
      </c>
      <c r="J47" s="40" t="s">
        <v>88</v>
      </c>
      <c r="K47" s="39">
        <v>-1322.5</v>
      </c>
      <c r="L47" s="39" t="s">
        <v>89</v>
      </c>
      <c r="M47" s="40" t="s">
        <v>74</v>
      </c>
      <c r="N47" s="40" t="s">
        <v>75</v>
      </c>
      <c r="O47" s="41" t="s">
        <v>76</v>
      </c>
      <c r="P47" s="41" t="s">
        <v>77</v>
      </c>
    </row>
    <row r="48" spans="1:16" ht="12.75" customHeight="1" thickBot="1">
      <c r="A48" s="16" t="str">
        <f t="shared" si="0"/>
        <v> BBS 125 </v>
      </c>
      <c r="B48" s="3" t="str">
        <f t="shared" si="1"/>
        <v>II</v>
      </c>
      <c r="C48" s="16">
        <f t="shared" si="2"/>
        <v>52033.358399999997</v>
      </c>
      <c r="D48" s="15" t="str">
        <f t="shared" si="3"/>
        <v>vis</v>
      </c>
      <c r="E48" s="51">
        <f>VLOOKUP(C48,Active!C$21:E$973,3,FALSE)</f>
        <v>-1846.5025088891275</v>
      </c>
      <c r="F48" s="3" t="s">
        <v>69</v>
      </c>
      <c r="G48" s="15" t="str">
        <f t="shared" si="4"/>
        <v>52033.3584</v>
      </c>
      <c r="H48" s="16">
        <f t="shared" si="5"/>
        <v>-1292.5</v>
      </c>
      <c r="I48" s="39" t="s">
        <v>90</v>
      </c>
      <c r="J48" s="40" t="s">
        <v>91</v>
      </c>
      <c r="K48" s="39">
        <v>-1292.5</v>
      </c>
      <c r="L48" s="39" t="s">
        <v>92</v>
      </c>
      <c r="M48" s="40" t="s">
        <v>74</v>
      </c>
      <c r="N48" s="40" t="s">
        <v>75</v>
      </c>
      <c r="O48" s="41" t="s">
        <v>76</v>
      </c>
      <c r="P48" s="41" t="s">
        <v>77</v>
      </c>
    </row>
    <row r="49" spans="1:16" ht="12.75" customHeight="1" thickBot="1">
      <c r="A49" s="16" t="str">
        <f t="shared" si="0"/>
        <v> BBS 125 </v>
      </c>
      <c r="B49" s="3" t="str">
        <f t="shared" si="1"/>
        <v>I</v>
      </c>
      <c r="C49" s="16">
        <f t="shared" si="2"/>
        <v>52041.4856</v>
      </c>
      <c r="D49" s="15" t="str">
        <f t="shared" si="3"/>
        <v>vis</v>
      </c>
      <c r="E49" s="51">
        <f>VLOOKUP(C49,Active!C$21:E$973,3,FALSE)</f>
        <v>-1823.9967212751678</v>
      </c>
      <c r="F49" s="3" t="s">
        <v>69</v>
      </c>
      <c r="G49" s="15" t="str">
        <f t="shared" si="4"/>
        <v>52041.4856</v>
      </c>
      <c r="H49" s="16">
        <f t="shared" si="5"/>
        <v>-1270</v>
      </c>
      <c r="I49" s="39" t="s">
        <v>93</v>
      </c>
      <c r="J49" s="40" t="s">
        <v>94</v>
      </c>
      <c r="K49" s="39">
        <v>-1270</v>
      </c>
      <c r="L49" s="39" t="s">
        <v>95</v>
      </c>
      <c r="M49" s="40" t="s">
        <v>74</v>
      </c>
      <c r="N49" s="40" t="s">
        <v>75</v>
      </c>
      <c r="O49" s="41" t="s">
        <v>76</v>
      </c>
      <c r="P49" s="41" t="s">
        <v>77</v>
      </c>
    </row>
    <row r="50" spans="1:16" ht="12.75" customHeight="1" thickBot="1">
      <c r="A50" s="16" t="str">
        <f t="shared" si="0"/>
        <v> BBS 128 </v>
      </c>
      <c r="B50" s="3" t="str">
        <f t="shared" si="1"/>
        <v>II</v>
      </c>
      <c r="C50" s="16">
        <f t="shared" si="2"/>
        <v>52367.397900000004</v>
      </c>
      <c r="D50" s="15" t="str">
        <f t="shared" si="3"/>
        <v>vis</v>
      </c>
      <c r="E50" s="51">
        <f>VLOOKUP(C50,Active!C$21:E$973,3,FALSE)</f>
        <v>-921.48257069750423</v>
      </c>
      <c r="F50" s="3" t="s">
        <v>69</v>
      </c>
      <c r="G50" s="15" t="str">
        <f t="shared" si="4"/>
        <v>52367.3979</v>
      </c>
      <c r="H50" s="16">
        <f t="shared" si="5"/>
        <v>-367.5</v>
      </c>
      <c r="I50" s="39" t="s">
        <v>96</v>
      </c>
      <c r="J50" s="40" t="s">
        <v>97</v>
      </c>
      <c r="K50" s="39">
        <v>-367.5</v>
      </c>
      <c r="L50" s="39" t="s">
        <v>98</v>
      </c>
      <c r="M50" s="40" t="s">
        <v>74</v>
      </c>
      <c r="N50" s="40" t="s">
        <v>75</v>
      </c>
      <c r="O50" s="41" t="s">
        <v>76</v>
      </c>
      <c r="P50" s="41" t="s">
        <v>99</v>
      </c>
    </row>
    <row r="51" spans="1:16" ht="12.75" customHeight="1" thickBot="1">
      <c r="A51" s="16" t="str">
        <f t="shared" si="0"/>
        <v>OEJV 0162 </v>
      </c>
      <c r="B51" s="3" t="str">
        <f t="shared" si="1"/>
        <v>I</v>
      </c>
      <c r="C51" s="16">
        <f t="shared" si="2"/>
        <v>53900.88</v>
      </c>
      <c r="D51" s="15" t="str">
        <f t="shared" si="3"/>
        <v>vis</v>
      </c>
      <c r="E51" s="51">
        <f>VLOOKUP(C51,Active!C$21:E$973,3,FALSE)</f>
        <v>3325.0257534974744</v>
      </c>
      <c r="F51" s="3" t="s">
        <v>69</v>
      </c>
      <c r="G51" s="15" t="str">
        <f t="shared" si="4"/>
        <v>53900.880</v>
      </c>
      <c r="H51" s="16">
        <f t="shared" si="5"/>
        <v>3879</v>
      </c>
      <c r="I51" s="39" t="s">
        <v>120</v>
      </c>
      <c r="J51" s="40" t="s">
        <v>121</v>
      </c>
      <c r="K51" s="39" t="s">
        <v>226</v>
      </c>
      <c r="L51" s="39" t="s">
        <v>122</v>
      </c>
      <c r="M51" s="40" t="s">
        <v>116</v>
      </c>
      <c r="N51" s="40" t="s">
        <v>123</v>
      </c>
      <c r="O51" s="41" t="s">
        <v>124</v>
      </c>
      <c r="P51" s="42" t="s">
        <v>125</v>
      </c>
    </row>
    <row r="52" spans="1:16" ht="12.75" customHeight="1" thickBot="1">
      <c r="A52" s="16" t="str">
        <f t="shared" si="0"/>
        <v>VSB 48 </v>
      </c>
      <c r="B52" s="3" t="str">
        <f t="shared" si="1"/>
        <v>I</v>
      </c>
      <c r="C52" s="16">
        <f t="shared" si="2"/>
        <v>54631.065300000002</v>
      </c>
      <c r="D52" s="15" t="str">
        <f t="shared" si="3"/>
        <v>vis</v>
      </c>
      <c r="E52" s="51">
        <f>VLOOKUP(C52,Active!C$21:E$973,3,FALSE)</f>
        <v>5347.0499784002886</v>
      </c>
      <c r="F52" s="3" t="s">
        <v>69</v>
      </c>
      <c r="G52" s="15" t="str">
        <f t="shared" si="4"/>
        <v>54631.0653</v>
      </c>
      <c r="H52" s="16">
        <f t="shared" si="5"/>
        <v>5901</v>
      </c>
      <c r="I52" s="39" t="s">
        <v>151</v>
      </c>
      <c r="J52" s="40" t="s">
        <v>152</v>
      </c>
      <c r="K52" s="39" t="s">
        <v>234</v>
      </c>
      <c r="L52" s="39" t="s">
        <v>128</v>
      </c>
      <c r="M52" s="40" t="s">
        <v>116</v>
      </c>
      <c r="N52" s="40" t="s">
        <v>153</v>
      </c>
      <c r="O52" s="41" t="s">
        <v>154</v>
      </c>
      <c r="P52" s="42" t="s">
        <v>155</v>
      </c>
    </row>
    <row r="53" spans="1:16">
      <c r="B53" s="3"/>
      <c r="F53" s="3"/>
    </row>
    <row r="54" spans="1:16">
      <c r="B54" s="3"/>
      <c r="F54" s="3"/>
    </row>
    <row r="55" spans="1:16">
      <c r="B55" s="3"/>
      <c r="F55" s="3"/>
    </row>
    <row r="56" spans="1:16">
      <c r="B56" s="3"/>
      <c r="F56" s="3"/>
    </row>
    <row r="57" spans="1:16">
      <c r="B57" s="3"/>
      <c r="F57" s="3"/>
    </row>
    <row r="58" spans="1:16">
      <c r="B58" s="3"/>
      <c r="F58" s="3"/>
    </row>
    <row r="59" spans="1:16">
      <c r="B59" s="3"/>
      <c r="F59" s="3"/>
    </row>
    <row r="60" spans="1:16">
      <c r="B60" s="3"/>
      <c r="F60" s="3"/>
    </row>
    <row r="61" spans="1:16">
      <c r="B61" s="3"/>
      <c r="F61" s="3"/>
    </row>
    <row r="62" spans="1:16">
      <c r="B62" s="3"/>
      <c r="F62" s="3"/>
    </row>
    <row r="63" spans="1:16">
      <c r="B63" s="3"/>
      <c r="F63" s="3"/>
    </row>
    <row r="64" spans="1:1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</sheetData>
  <phoneticPr fontId="7" type="noConversion"/>
  <hyperlinks>
    <hyperlink ref="A3" r:id="rId1" xr:uid="{00000000-0004-0000-0100-000000000000}"/>
    <hyperlink ref="P13" r:id="rId2" display="http://www.konkoly.hu/cgi-bin/IBVS?5653" xr:uid="{00000000-0004-0000-0100-000001000000}"/>
    <hyperlink ref="P14" r:id="rId3" display="http://www.bav-astro.de/sfs/BAVM_link.php?BAVMnr=186" xr:uid="{00000000-0004-0000-0100-000002000000}"/>
    <hyperlink ref="P51" r:id="rId4" display="http://var.astro.cz/oejv/issues/oejv0162.pdf" xr:uid="{00000000-0004-0000-0100-000003000000}"/>
    <hyperlink ref="P17" r:id="rId5" display="http://www.bav-astro.de/sfs/BAVM_link.php?BAVMnr=186" xr:uid="{00000000-0004-0000-0100-000004000000}"/>
    <hyperlink ref="P18" r:id="rId6" display="http://www.bav-astro.de/sfs/BAVM_link.php?BAVMnr=186" xr:uid="{00000000-0004-0000-0100-000005000000}"/>
    <hyperlink ref="P19" r:id="rId7" display="http://www.bav-astro.de/sfs/BAVM_link.php?BAVMnr=186" xr:uid="{00000000-0004-0000-0100-000006000000}"/>
    <hyperlink ref="P20" r:id="rId8" display="http://www.bav-astro.de/sfs/BAVM_link.php?BAVMnr=201" xr:uid="{00000000-0004-0000-0100-000007000000}"/>
    <hyperlink ref="P21" r:id="rId9" display="http://www.bav-astro.de/sfs/BAVM_link.php?BAVMnr=201" xr:uid="{00000000-0004-0000-0100-000008000000}"/>
    <hyperlink ref="P52" r:id="rId10" display="http://vsolj.cetus-net.org/no48.pdf" xr:uid="{00000000-0004-0000-0100-000009000000}"/>
    <hyperlink ref="P22" r:id="rId11" display="http://www.konkoly.hu/cgi-bin/IBVS?5929" xr:uid="{00000000-0004-0000-0100-00000A000000}"/>
    <hyperlink ref="P23" r:id="rId12" display="http://www.bav-astro.de/sfs/BAVM_link.php?BAVMnr=209" xr:uid="{00000000-0004-0000-0100-00000B000000}"/>
    <hyperlink ref="P24" r:id="rId13" display="http://www.konkoly.hu/cgi-bin/IBVS?5894" xr:uid="{00000000-0004-0000-0100-00000C000000}"/>
    <hyperlink ref="P25" r:id="rId14" display="http://www.bav-astro.de/sfs/BAVM_link.php?BAVMnr=209" xr:uid="{00000000-0004-0000-0100-00000D000000}"/>
    <hyperlink ref="P26" r:id="rId15" display="http://www.konkoly.hu/cgi-bin/IBVS?5920" xr:uid="{00000000-0004-0000-0100-00000E000000}"/>
    <hyperlink ref="P27" r:id="rId16" display="http://www.bav-astro.de/sfs/BAVM_link.php?BAVMnr=214" xr:uid="{00000000-0004-0000-0100-00000F000000}"/>
    <hyperlink ref="P28" r:id="rId17" display="http://www.bav-astro.de/sfs/BAVM_link.php?BAVMnr=214" xr:uid="{00000000-0004-0000-0100-000010000000}"/>
    <hyperlink ref="P29" r:id="rId18" display="http://www.konkoly.hu/cgi-bin/IBVS?5960" xr:uid="{00000000-0004-0000-0100-000011000000}"/>
    <hyperlink ref="P30" r:id="rId19" display="http://var.astro.cz/oejv/issues/oejv0160.pdf" xr:uid="{00000000-0004-0000-0100-000012000000}"/>
    <hyperlink ref="P31" r:id="rId20" display="http://www.konkoly.hu/cgi-bin/IBVS?5992" xr:uid="{00000000-0004-0000-0100-000013000000}"/>
    <hyperlink ref="P32" r:id="rId21" display="http://var.astro.cz/oejv/issues/oejv0160.pdf" xr:uid="{00000000-0004-0000-0100-000014000000}"/>
    <hyperlink ref="P33" r:id="rId22" display="http://www.bav-astro.de/sfs/BAVM_link.php?BAVMnr=220" xr:uid="{00000000-0004-0000-0100-000015000000}"/>
    <hyperlink ref="P34" r:id="rId23" display="http://www.bav-astro.de/sfs/BAVM_link.php?BAVMnr=220" xr:uid="{00000000-0004-0000-0100-000016000000}"/>
    <hyperlink ref="P35" r:id="rId24" display="http://var.astro.cz/oejv/issues/oejv0160.pdf" xr:uid="{00000000-0004-0000-0100-000017000000}"/>
    <hyperlink ref="P36" r:id="rId25" display="http://www.konkoly.hu/cgi-bin/IBVS?5992" xr:uid="{00000000-0004-0000-0100-000018000000}"/>
    <hyperlink ref="P37" r:id="rId26" display="http://var.astro.cz/oejv/issues/oejv0160.pdf" xr:uid="{00000000-0004-0000-0100-000019000000}"/>
    <hyperlink ref="P38" r:id="rId27" display="http://www.bav-astro.de/sfs/BAVM_link.php?BAVMnr=228" xr:uid="{00000000-0004-0000-0100-00001A000000}"/>
    <hyperlink ref="P39" r:id="rId28" display="http://www.bav-astro.de/sfs/BAVM_link.php?BAVMnr=228" xr:uid="{00000000-0004-0000-0100-00001B000000}"/>
    <hyperlink ref="P40" r:id="rId29" display="http://www.bav-astro.de/sfs/BAVM_link.php?BAVMnr=228" xr:uid="{00000000-0004-0000-0100-00001C000000}"/>
    <hyperlink ref="P41" r:id="rId30" display="http://www.bav-astro.de/sfs/BAVM_link.php?BAVMnr=228" xr:uid="{00000000-0004-0000-0100-00001D000000}"/>
    <hyperlink ref="P42" r:id="rId31" display="http://var.astro.cz/oejv/issues/oejv0160.pdf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2023-08-19T06:58:04Z</dcterms:modified>
</cp:coreProperties>
</file>