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BF9F7A7-FBF4-404E-B0B8-A39752907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57" i="1"/>
  <c r="F57" i="1"/>
  <c r="G57" i="1" s="1"/>
  <c r="K57" i="1" s="1"/>
  <c r="Q57" i="1"/>
  <c r="E55" i="1"/>
  <c r="F55" i="1"/>
  <c r="G55" i="1"/>
  <c r="K55" i="1"/>
  <c r="Q55" i="1"/>
  <c r="E53" i="1"/>
  <c r="F53" i="1"/>
  <c r="G53" i="1"/>
  <c r="K53" i="1"/>
  <c r="Q53" i="1"/>
  <c r="E54" i="1"/>
  <c r="F54" i="1"/>
  <c r="G54" i="1"/>
  <c r="K54" i="1"/>
  <c r="Q54" i="1"/>
  <c r="Q52" i="1"/>
  <c r="E43" i="1"/>
  <c r="F43" i="1"/>
  <c r="G43" i="1"/>
  <c r="K43" i="1"/>
  <c r="E44" i="1"/>
  <c r="F44" i="1"/>
  <c r="G44" i="1"/>
  <c r="K44" i="1"/>
  <c r="E45" i="1"/>
  <c r="F45" i="1"/>
  <c r="G45" i="1"/>
  <c r="I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Q51" i="1"/>
  <c r="Q50" i="1"/>
  <c r="Q49" i="1"/>
  <c r="Q48" i="1"/>
  <c r="Q47" i="1"/>
  <c r="Q46" i="1"/>
  <c r="Q45" i="1"/>
  <c r="Q44" i="1"/>
  <c r="Q43" i="1"/>
  <c r="E36" i="1"/>
  <c r="F36" i="1"/>
  <c r="G36" i="1"/>
  <c r="K36" i="1"/>
  <c r="E35" i="1"/>
  <c r="F35" i="1"/>
  <c r="G35" i="1"/>
  <c r="K35" i="1"/>
  <c r="E34" i="1"/>
  <c r="F34" i="1"/>
  <c r="G34" i="1"/>
  <c r="K34" i="1"/>
  <c r="E33" i="1"/>
  <c r="F33" i="1"/>
  <c r="G33" i="1"/>
  <c r="K33" i="1"/>
  <c r="E32" i="1"/>
  <c r="F32" i="1"/>
  <c r="G32" i="1"/>
  <c r="K32" i="1"/>
  <c r="E30" i="1"/>
  <c r="F30" i="1"/>
  <c r="G30" i="1"/>
  <c r="K30" i="1"/>
  <c r="E29" i="1"/>
  <c r="F29" i="1"/>
  <c r="G29" i="1"/>
  <c r="K29" i="1"/>
  <c r="E28" i="1"/>
  <c r="F28" i="1"/>
  <c r="G28" i="1"/>
  <c r="K28" i="1"/>
  <c r="E24" i="1"/>
  <c r="F24" i="1"/>
  <c r="G24" i="1"/>
  <c r="K24" i="1"/>
  <c r="E26" i="1"/>
  <c r="F26" i="1"/>
  <c r="G26" i="1"/>
  <c r="K26" i="1"/>
  <c r="E27" i="1"/>
  <c r="F27" i="1"/>
  <c r="G27" i="1"/>
  <c r="K27" i="1"/>
  <c r="E31" i="1"/>
  <c r="F31" i="1"/>
  <c r="G31" i="1"/>
  <c r="H31" i="1"/>
  <c r="J31" i="1"/>
  <c r="E37" i="1"/>
  <c r="F37" i="1"/>
  <c r="G37" i="1"/>
  <c r="J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21" i="1"/>
  <c r="F21" i="1"/>
  <c r="E22" i="1"/>
  <c r="F22" i="1"/>
  <c r="E23" i="1"/>
  <c r="F23" i="1"/>
  <c r="E25" i="1"/>
  <c r="F25" i="1"/>
  <c r="E42" i="1"/>
  <c r="F42" i="1"/>
  <c r="G42" i="1"/>
  <c r="K42" i="1"/>
  <c r="C9" i="1"/>
  <c r="D9" i="1"/>
  <c r="Q36" i="1"/>
  <c r="Q35" i="1"/>
  <c r="Q34" i="1"/>
  <c r="Q33" i="1"/>
  <c r="Q32" i="1"/>
  <c r="Q30" i="1"/>
  <c r="Q29" i="1"/>
  <c r="Q28" i="1"/>
  <c r="Q27" i="1"/>
  <c r="Q26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11" i="2"/>
  <c r="C11" i="2"/>
  <c r="E11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Q42" i="1"/>
  <c r="Q41" i="1"/>
  <c r="Q40" i="1"/>
  <c r="Q39" i="1"/>
  <c r="Q38" i="1"/>
  <c r="Q31" i="1"/>
  <c r="Q37" i="1"/>
  <c r="F16" i="1"/>
  <c r="F17" i="1" s="1"/>
  <c r="C17" i="1"/>
  <c r="Q22" i="1"/>
  <c r="Q23" i="1"/>
  <c r="Q24" i="1"/>
  <c r="Q25" i="1"/>
  <c r="Q21" i="1"/>
  <c r="C12" i="1"/>
  <c r="C11" i="1"/>
  <c r="O57" i="1" l="1"/>
  <c r="O56" i="1"/>
  <c r="O53" i="1"/>
  <c r="O21" i="1"/>
  <c r="O55" i="1"/>
  <c r="O34" i="1"/>
  <c r="O40" i="1"/>
  <c r="O24" i="1"/>
  <c r="O39" i="1"/>
  <c r="O28" i="1"/>
  <c r="O30" i="1"/>
  <c r="O50" i="1"/>
  <c r="O41" i="1"/>
  <c r="O31" i="1"/>
  <c r="O44" i="1"/>
  <c r="O51" i="1"/>
  <c r="O49" i="1"/>
  <c r="O26" i="1"/>
  <c r="O23" i="1"/>
  <c r="O47" i="1"/>
  <c r="O32" i="1"/>
  <c r="C15" i="1"/>
  <c r="O38" i="1"/>
  <c r="O45" i="1"/>
  <c r="O46" i="1"/>
  <c r="O35" i="1"/>
  <c r="O33" i="1"/>
  <c r="O52" i="1"/>
  <c r="O22" i="1"/>
  <c r="O42" i="1"/>
  <c r="O29" i="1"/>
  <c r="O43" i="1"/>
  <c r="O37" i="1"/>
  <c r="O48" i="1"/>
  <c r="O25" i="1"/>
  <c r="O36" i="1"/>
  <c r="O54" i="1"/>
  <c r="O2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<sst xmlns="http://schemas.openxmlformats.org/spreadsheetml/2006/main" count="270" uniqueCount="131">
  <si>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</si>
  <si>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</si>
  <si>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</si>
  <si>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</si>
  <si>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</si>
  <si>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</si>
  <si>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</si>
  <si>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</si>
  <si>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</si>
  <si>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</si>
  <si>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</si>
  <si>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</si>
  <si>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</si>
  <si>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</si>
  <si>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</si>
  <si>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</si>
  <si>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</si>
  <si>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</si>
  <si>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</si>
  <si>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</si>
  <si>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</si>
  <si>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</si>
  <si>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</si>
  <si>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</si>
  <si>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</si>
  <si>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</si>
  <si>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</si>
  <si>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</si>
  <si>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</si>
  <si>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</si>
  <si>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</si>
  <si>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</si>
  <si>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</si>
  <si>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GP Boo / GSC 2017-1099</t>
  </si>
  <si>
    <t>IBVS 2793</t>
  </si>
  <si>
    <t>II</t>
  </si>
  <si>
    <t>IBVS 5741</t>
  </si>
  <si>
    <t>IBVS 5791</t>
  </si>
  <si>
    <t>I</t>
  </si>
  <si>
    <t>OEJV 0094</t>
  </si>
  <si>
    <t>OEJV 0107</t>
  </si>
  <si>
    <t>EB</t>
  </si>
  <si>
    <t>not avail.</t>
  </si>
  <si>
    <t>BAD</t>
  </si>
  <si>
    <t>Add cycle</t>
  </si>
  <si>
    <t>Old Cycle</t>
  </si>
  <si>
    <t>OEJV 0137</t>
  </si>
  <si>
    <t>IBVS 5918</t>
  </si>
  <si>
    <t>IBVS 5959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</si>
  <si>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</si>
  <si>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</si>
  <si>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</si>
  <si>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</si>
  <si>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</si>
  <si>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</si>
  <si>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</si>
  <si>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</si>
  <si>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</si>
  <si>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</si>
  <si>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</si>
  <si>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</si>
  <si>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</si>
  <si>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2454535.5720 </t>
  </si>
  <si>
    <t> 10.03.2008 01:43 </t>
  </si>
  <si>
    <t> -0.0015 </t>
  </si>
  <si>
    <t>C </t>
  </si>
  <si>
    <t> L.Šmelcer </t>
  </si>
  <si>
    <t>OEJV 0094 </t>
  </si>
  <si>
    <t>2454535.5731 </t>
  </si>
  <si>
    <t> 10.03.2008 01:45 </t>
  </si>
  <si>
    <t> -0.0004 </t>
  </si>
  <si>
    <t>R</t>
  </si>
  <si>
    <t>2454599.4379 </t>
  </si>
  <si>
    <t> 12.05.2008 22:30 </t>
  </si>
  <si>
    <t> 0.0004 </t>
  </si>
  <si>
    <t>2454599.4383 </t>
  </si>
  <si>
    <t> 12.05.2008 22:31 </t>
  </si>
  <si>
    <t> 0.0008 </t>
  </si>
  <si>
    <t>2454599.4392 </t>
  </si>
  <si>
    <t> 12.05.2008 22:32 </t>
  </si>
  <si>
    <t> 0.0017 </t>
  </si>
  <si>
    <t>2454933.4981 </t>
  </si>
  <si>
    <t> 11.04.2009 23:57 </t>
  </si>
  <si>
    <t> 0.0024 </t>
  </si>
  <si>
    <t>-I</t>
  </si>
  <si>
    <t> F.Agerer </t>
  </si>
  <si>
    <t>BAVM 209 </t>
  </si>
  <si>
    <t>2454938.4104 </t>
  </si>
  <si>
    <t> 16.04.2009 21:50 </t>
  </si>
  <si>
    <t> 0.0020 </t>
  </si>
  <si>
    <t>OEJV 0107 </t>
  </si>
  <si>
    <t>2454938.4114 </t>
  </si>
  <si>
    <t> 16.04.2009 21:52 </t>
  </si>
  <si>
    <t> 0.0030 </t>
  </si>
  <si>
    <t>2454938.4118 </t>
  </si>
  <si>
    <t> 0.0034 </t>
  </si>
  <si>
    <t>2455263.4593 </t>
  </si>
  <si>
    <t> 07.03.2010 23:01 </t>
  </si>
  <si>
    <t> -0.0008 </t>
  </si>
  <si>
    <t>OEJV 0137 </t>
  </si>
  <si>
    <t>2455263.4595 </t>
  </si>
  <si>
    <t> -0.0006 </t>
  </si>
  <si>
    <t>2455315.4505 </t>
  </si>
  <si>
    <t> 28.04.2010 22:48 </t>
  </si>
  <si>
    <t>BAVM 214 </t>
  </si>
  <si>
    <t>2455688.40098 </t>
  </si>
  <si>
    <t> 06.05.2011 21:37 </t>
  </si>
  <si>
    <t> -0.00079 </t>
  </si>
  <si>
    <t>OEJV 0160 </t>
  </si>
  <si>
    <t>2455688.40202 </t>
  </si>
  <si>
    <t> 06.05.2011 21:38 </t>
  </si>
  <si>
    <t> 0.00025 </t>
  </si>
  <si>
    <t>2456397.45517 </t>
  </si>
  <si>
    <t> 14.04.2013 22:55 </t>
  </si>
  <si>
    <t> -0.00151 </t>
  </si>
  <si>
    <t>2456397.4558 </t>
  </si>
  <si>
    <t> 14.04.2013 22:56 </t>
  </si>
  <si>
    <t> -0.0009 </t>
  </si>
  <si>
    <t>2456783.5103 </t>
  </si>
  <si>
    <t> 06.05.2014 00:14 </t>
  </si>
  <si>
    <t> 0.0035 </t>
  </si>
  <si>
    <t>BAVM 238 </t>
  </si>
  <si>
    <t>s5</t>
  </si>
  <si>
    <t>s6</t>
  </si>
  <si>
    <t>s7</t>
  </si>
  <si>
    <t>`</t>
  </si>
  <si>
    <t>OEJV 0179</t>
  </si>
  <si>
    <t>JAVSO..44…69</t>
  </si>
  <si>
    <t>JAVSO..45..121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</si>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</sst>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top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14" fillId="0" borderId="0" xfId="42" applyFont="1"/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10">
                  <c:v>0.10116500000003725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3E-4D0B-ACFD-18D7CD36D5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24">
                  <c:v>9.8385000004782341E-2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3E-4D0B-ACFD-18D7CD36D5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0</c:v>
                </c:pt>
                <c:pt idx="10">
                  <c:v>0.10116500000003725</c:v>
                </c:pt>
                <c:pt idx="16">
                  <c:v>9.73599999997532E-2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3E-4D0B-ACFD-18D7CD36D5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3">
                  <c:v>0.10226000000693602</c:v>
                </c:pt>
                <c:pt idx="5">
                  <c:v>9.7285000003466848E-2</c:v>
                </c:pt>
                <c:pt idx="6">
                  <c:v>9.8385000004782341E-2</c:v>
                </c:pt>
                <c:pt idx="7">
                  <c:v>9.9225000005390029E-2</c:v>
                </c:pt>
                <c:pt idx="8">
                  <c:v>9.9625000002561137E-2</c:v>
                </c:pt>
                <c:pt idx="9">
                  <c:v>0.1005250000016531</c:v>
                </c:pt>
                <c:pt idx="11">
                  <c:v>0.10094499999831896</c:v>
                </c:pt>
                <c:pt idx="12">
                  <c:v>0.10194500000216067</c:v>
                </c:pt>
                <c:pt idx="13">
                  <c:v>0.10234499999933178</c:v>
                </c:pt>
                <c:pt idx="14">
                  <c:v>9.8155000006954651E-2</c:v>
                </c:pt>
                <c:pt idx="15">
                  <c:v>9.8355000009178184E-2</c:v>
                </c:pt>
                <c:pt idx="17">
                  <c:v>9.8105000004579779E-2</c:v>
                </c:pt>
                <c:pt idx="18">
                  <c:v>9.9145000007410999E-2</c:v>
                </c:pt>
                <c:pt idx="19">
                  <c:v>9.7475000002305023E-2</c:v>
                </c:pt>
                <c:pt idx="20">
                  <c:v>9.8105000004579779E-2</c:v>
                </c:pt>
                <c:pt idx="21">
                  <c:v>0.10255000000324799</c:v>
                </c:pt>
                <c:pt idx="22">
                  <c:v>0.10067500000150176</c:v>
                </c:pt>
                <c:pt idx="23">
                  <c:v>9.8245000008319039E-2</c:v>
                </c:pt>
                <c:pt idx="25">
                  <c:v>9.5800000002782326E-2</c:v>
                </c:pt>
                <c:pt idx="26">
                  <c:v>9.7605000002658926E-2</c:v>
                </c:pt>
                <c:pt idx="27">
                  <c:v>9.7965000008116476E-2</c:v>
                </c:pt>
                <c:pt idx="28">
                  <c:v>9.8035000002710149E-2</c:v>
                </c:pt>
                <c:pt idx="29">
                  <c:v>0.10463000000163447</c:v>
                </c:pt>
                <c:pt idx="30">
                  <c:v>0.1066900000005262</c:v>
                </c:pt>
                <c:pt idx="31">
                  <c:v>0.1095500000010361</c:v>
                </c:pt>
                <c:pt idx="32">
                  <c:v>9.4465000001946464E-2</c:v>
                </c:pt>
                <c:pt idx="33">
                  <c:v>9.5145000006596092E-2</c:v>
                </c:pt>
                <c:pt idx="34">
                  <c:v>9.0215000003809109E-2</c:v>
                </c:pt>
                <c:pt idx="35">
                  <c:v>0.10025500014307909</c:v>
                </c:pt>
                <c:pt idx="36">
                  <c:v>9.9410000002535526E-2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3E-4D0B-ACFD-18D7CD36D5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3E-4D0B-ACFD-18D7CD36D5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3E-4D0B-ACFD-18D7CD36D5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3E-4D0B-ACFD-18D7CD36D5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0.10277236884126616</c:v>
                </c:pt>
                <c:pt idx="1">
                  <c:v>0.10031223135259087</c:v>
                </c:pt>
                <c:pt idx="2">
                  <c:v>0.10024693117656809</c:v>
                </c:pt>
                <c:pt idx="3">
                  <c:v>0.10019717866150313</c:v>
                </c:pt>
                <c:pt idx="4">
                  <c:v>0.10018474053273688</c:v>
                </c:pt>
                <c:pt idx="5">
                  <c:v>9.9916698857824338E-2</c:v>
                </c:pt>
                <c:pt idx="6">
                  <c:v>9.9916698857824338E-2</c:v>
                </c:pt>
                <c:pt idx="7">
                  <c:v>9.9897295376948997E-2</c:v>
                </c:pt>
                <c:pt idx="8">
                  <c:v>9.9897295376948997E-2</c:v>
                </c:pt>
                <c:pt idx="9">
                  <c:v>9.9897295376948997E-2</c:v>
                </c:pt>
                <c:pt idx="10">
                  <c:v>9.9795800246216454E-2</c:v>
                </c:pt>
                <c:pt idx="11">
                  <c:v>9.9794307670764498E-2</c:v>
                </c:pt>
                <c:pt idx="12">
                  <c:v>9.9794307670764498E-2</c:v>
                </c:pt>
                <c:pt idx="13">
                  <c:v>9.9794307670764498E-2</c:v>
                </c:pt>
                <c:pt idx="14">
                  <c:v>9.9695548928360522E-2</c:v>
                </c:pt>
                <c:pt idx="15">
                  <c:v>9.9695548928360522E-2</c:v>
                </c:pt>
                <c:pt idx="16">
                  <c:v>9.9679752504827399E-2</c:v>
                </c:pt>
                <c:pt idx="17">
                  <c:v>9.9566441151766924E-2</c:v>
                </c:pt>
                <c:pt idx="18">
                  <c:v>9.9566441151766924E-2</c:v>
                </c:pt>
                <c:pt idx="19">
                  <c:v>9.9351012761535587E-2</c:v>
                </c:pt>
                <c:pt idx="20">
                  <c:v>9.9351012761535587E-2</c:v>
                </c:pt>
                <c:pt idx="21">
                  <c:v>9.9233721207269907E-2</c:v>
                </c:pt>
                <c:pt idx="22">
                  <c:v>9.9127375206318522E-2</c:v>
                </c:pt>
                <c:pt idx="23">
                  <c:v>9.9010705558491161E-2</c:v>
                </c:pt>
                <c:pt idx="24">
                  <c:v>9.9016178335148308E-2</c:v>
                </c:pt>
                <c:pt idx="25">
                  <c:v>9.9127997112756841E-2</c:v>
                </c:pt>
                <c:pt idx="26">
                  <c:v>9.9127126443743205E-2</c:v>
                </c:pt>
                <c:pt idx="27">
                  <c:v>9.9127126443743205E-2</c:v>
                </c:pt>
                <c:pt idx="28">
                  <c:v>9.9127126443743205E-2</c:v>
                </c:pt>
                <c:pt idx="29">
                  <c:v>9.9121031760647738E-2</c:v>
                </c:pt>
                <c:pt idx="30">
                  <c:v>9.9121031760647738E-2</c:v>
                </c:pt>
                <c:pt idx="31">
                  <c:v>9.9121031760647738E-2</c:v>
                </c:pt>
                <c:pt idx="32">
                  <c:v>9.9116678415579557E-2</c:v>
                </c:pt>
                <c:pt idx="33">
                  <c:v>9.900821793273791E-2</c:v>
                </c:pt>
                <c:pt idx="34">
                  <c:v>9.8908961665183287E-2</c:v>
                </c:pt>
                <c:pt idx="35">
                  <c:v>9.8464174180502434E-2</c:v>
                </c:pt>
                <c:pt idx="36">
                  <c:v>9.8459572072858922E-2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3E-4D0B-ACFD-18D7CD36D5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0">
                  <c:v>0</c:v>
                </c:pt>
                <c:pt idx="1">
                  <c:v>-0.11371499999950174</c:v>
                </c:pt>
                <c:pt idx="2">
                  <c:v>-0.15363999999681255</c:v>
                </c:pt>
                <c:pt idx="4">
                  <c:v>4.1859999997541308E-2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3E-4D0B-ACFD-18D7CD36D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3800"/>
        <c:axId val="1"/>
      </c:scatterChart>
      <c:valAx>
        <c:axId val="60077380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3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Boo - O-C Diagr.</a:t>
            </a:r>
          </a:p>
        </c:rich>
      </c:tx>
      <c:layout>
        <c:manualLayout>
          <c:xMode val="edge"/>
          <c:yMode val="edge"/>
          <c:x val="0.3828835134346945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10">
                  <c:v>0.10116500000003725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8-420E-90B3-84E594C692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24">
                  <c:v>9.8385000004782341E-2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8-420E-90B3-84E594C692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0</c:v>
                </c:pt>
                <c:pt idx="10">
                  <c:v>0.10116500000003725</c:v>
                </c:pt>
                <c:pt idx="16">
                  <c:v>9.73599999997532E-2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48-420E-90B3-84E594C692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3">
                  <c:v>0.10226000000693602</c:v>
                </c:pt>
                <c:pt idx="5">
                  <c:v>9.7285000003466848E-2</c:v>
                </c:pt>
                <c:pt idx="6">
                  <c:v>9.8385000004782341E-2</c:v>
                </c:pt>
                <c:pt idx="7">
                  <c:v>9.9225000005390029E-2</c:v>
                </c:pt>
                <c:pt idx="8">
                  <c:v>9.9625000002561137E-2</c:v>
                </c:pt>
                <c:pt idx="9">
                  <c:v>0.1005250000016531</c:v>
                </c:pt>
                <c:pt idx="11">
                  <c:v>0.10094499999831896</c:v>
                </c:pt>
                <c:pt idx="12">
                  <c:v>0.10194500000216067</c:v>
                </c:pt>
                <c:pt idx="13">
                  <c:v>0.10234499999933178</c:v>
                </c:pt>
                <c:pt idx="14">
                  <c:v>9.8155000006954651E-2</c:v>
                </c:pt>
                <c:pt idx="15">
                  <c:v>9.8355000009178184E-2</c:v>
                </c:pt>
                <c:pt idx="17">
                  <c:v>9.8105000004579779E-2</c:v>
                </c:pt>
                <c:pt idx="18">
                  <c:v>9.9145000007410999E-2</c:v>
                </c:pt>
                <c:pt idx="19">
                  <c:v>9.7475000002305023E-2</c:v>
                </c:pt>
                <c:pt idx="20">
                  <c:v>9.8105000004579779E-2</c:v>
                </c:pt>
                <c:pt idx="21">
                  <c:v>0.10255000000324799</c:v>
                </c:pt>
                <c:pt idx="22">
                  <c:v>0.10067500000150176</c:v>
                </c:pt>
                <c:pt idx="23">
                  <c:v>9.8245000008319039E-2</c:v>
                </c:pt>
                <c:pt idx="25">
                  <c:v>9.5800000002782326E-2</c:v>
                </c:pt>
                <c:pt idx="26">
                  <c:v>9.7605000002658926E-2</c:v>
                </c:pt>
                <c:pt idx="27">
                  <c:v>9.7965000008116476E-2</c:v>
                </c:pt>
                <c:pt idx="28">
                  <c:v>9.8035000002710149E-2</c:v>
                </c:pt>
                <c:pt idx="29">
                  <c:v>0.10463000000163447</c:v>
                </c:pt>
                <c:pt idx="30">
                  <c:v>0.1066900000005262</c:v>
                </c:pt>
                <c:pt idx="31">
                  <c:v>0.1095500000010361</c:v>
                </c:pt>
                <c:pt idx="32">
                  <c:v>9.4465000001946464E-2</c:v>
                </c:pt>
                <c:pt idx="33">
                  <c:v>9.5145000006596092E-2</c:v>
                </c:pt>
                <c:pt idx="34">
                  <c:v>9.0215000003809109E-2</c:v>
                </c:pt>
                <c:pt idx="35">
                  <c:v>0.10025500014307909</c:v>
                </c:pt>
                <c:pt idx="36">
                  <c:v>9.9410000002535526E-2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48-420E-90B3-84E594C692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48-420E-90B3-84E594C692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48-420E-90B3-84E594C692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1.2999999999999999E-2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1.5299999999999999E-2</c:v>
                  </c:pt>
                  <c:pt idx="22">
                    <c:v>6.1999999999999998E-3</c:v>
                  </c:pt>
                  <c:pt idx="23">
                    <c:v>7.1000000000000004E-3</c:v>
                  </c:pt>
                  <c:pt idx="24">
                    <c:v>8.0000000000000002E-3</c:v>
                  </c:pt>
                  <c:pt idx="25">
                    <c:v>8.6E-3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1.1999999999999999E-3</c:v>
                  </c:pt>
                  <c:pt idx="30">
                    <c:v>1.2999999999999999E-3</c:v>
                  </c:pt>
                  <c:pt idx="31">
                    <c:v>1.5E-3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2.5000000000000001E-3</c:v>
                  </c:pt>
                  <c:pt idx="35">
                    <c:v>1E-3</c:v>
                  </c:pt>
                  <c:pt idx="3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48-420E-90B3-84E594C692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0.10277236884126616</c:v>
                </c:pt>
                <c:pt idx="1">
                  <c:v>0.10031223135259087</c:v>
                </c:pt>
                <c:pt idx="2">
                  <c:v>0.10024693117656809</c:v>
                </c:pt>
                <c:pt idx="3">
                  <c:v>0.10019717866150313</c:v>
                </c:pt>
                <c:pt idx="4">
                  <c:v>0.10018474053273688</c:v>
                </c:pt>
                <c:pt idx="5">
                  <c:v>9.9916698857824338E-2</c:v>
                </c:pt>
                <c:pt idx="6">
                  <c:v>9.9916698857824338E-2</c:v>
                </c:pt>
                <c:pt idx="7">
                  <c:v>9.9897295376948997E-2</c:v>
                </c:pt>
                <c:pt idx="8">
                  <c:v>9.9897295376948997E-2</c:v>
                </c:pt>
                <c:pt idx="9">
                  <c:v>9.9897295376948997E-2</c:v>
                </c:pt>
                <c:pt idx="10">
                  <c:v>9.9795800246216454E-2</c:v>
                </c:pt>
                <c:pt idx="11">
                  <c:v>9.9794307670764498E-2</c:v>
                </c:pt>
                <c:pt idx="12">
                  <c:v>9.9794307670764498E-2</c:v>
                </c:pt>
                <c:pt idx="13">
                  <c:v>9.9794307670764498E-2</c:v>
                </c:pt>
                <c:pt idx="14">
                  <c:v>9.9695548928360522E-2</c:v>
                </c:pt>
                <c:pt idx="15">
                  <c:v>9.9695548928360522E-2</c:v>
                </c:pt>
                <c:pt idx="16">
                  <c:v>9.9679752504827399E-2</c:v>
                </c:pt>
                <c:pt idx="17">
                  <c:v>9.9566441151766924E-2</c:v>
                </c:pt>
                <c:pt idx="18">
                  <c:v>9.9566441151766924E-2</c:v>
                </c:pt>
                <c:pt idx="19">
                  <c:v>9.9351012761535587E-2</c:v>
                </c:pt>
                <c:pt idx="20">
                  <c:v>9.9351012761535587E-2</c:v>
                </c:pt>
                <c:pt idx="21">
                  <c:v>9.9233721207269907E-2</c:v>
                </c:pt>
                <c:pt idx="22">
                  <c:v>9.9127375206318522E-2</c:v>
                </c:pt>
                <c:pt idx="23">
                  <c:v>9.9010705558491161E-2</c:v>
                </c:pt>
                <c:pt idx="24">
                  <c:v>9.9016178335148308E-2</c:v>
                </c:pt>
                <c:pt idx="25">
                  <c:v>9.9127997112756841E-2</c:v>
                </c:pt>
                <c:pt idx="26">
                  <c:v>9.9127126443743205E-2</c:v>
                </c:pt>
                <c:pt idx="27">
                  <c:v>9.9127126443743205E-2</c:v>
                </c:pt>
                <c:pt idx="28">
                  <c:v>9.9127126443743205E-2</c:v>
                </c:pt>
                <c:pt idx="29">
                  <c:v>9.9121031760647738E-2</c:v>
                </c:pt>
                <c:pt idx="30">
                  <c:v>9.9121031760647738E-2</c:v>
                </c:pt>
                <c:pt idx="31">
                  <c:v>9.9121031760647738E-2</c:v>
                </c:pt>
                <c:pt idx="32">
                  <c:v>9.9116678415579557E-2</c:v>
                </c:pt>
                <c:pt idx="33">
                  <c:v>9.900821793273791E-2</c:v>
                </c:pt>
                <c:pt idx="34">
                  <c:v>9.8908961665183287E-2</c:v>
                </c:pt>
                <c:pt idx="35">
                  <c:v>9.8464174180502434E-2</c:v>
                </c:pt>
                <c:pt idx="36">
                  <c:v>9.8459572072858922E-2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48-420E-90B3-84E594C692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9889.5</c:v>
                </c:pt>
                <c:pt idx="2">
                  <c:v>10152</c:v>
                </c:pt>
                <c:pt idx="3">
                  <c:v>10352</c:v>
                </c:pt>
                <c:pt idx="4">
                  <c:v>10402</c:v>
                </c:pt>
                <c:pt idx="5">
                  <c:v>11479.5</c:v>
                </c:pt>
                <c:pt idx="6">
                  <c:v>11479.5</c:v>
                </c:pt>
                <c:pt idx="7">
                  <c:v>11557.5</c:v>
                </c:pt>
                <c:pt idx="8">
                  <c:v>11557.5</c:v>
                </c:pt>
                <c:pt idx="9">
                  <c:v>11557.5</c:v>
                </c:pt>
                <c:pt idx="10">
                  <c:v>11965.5</c:v>
                </c:pt>
                <c:pt idx="11">
                  <c:v>11971.5</c:v>
                </c:pt>
                <c:pt idx="12">
                  <c:v>11971.5</c:v>
                </c:pt>
                <c:pt idx="13">
                  <c:v>11971.5</c:v>
                </c:pt>
                <c:pt idx="14">
                  <c:v>12368.5</c:v>
                </c:pt>
                <c:pt idx="15">
                  <c:v>12368.5</c:v>
                </c:pt>
                <c:pt idx="16">
                  <c:v>12432</c:v>
                </c:pt>
                <c:pt idx="17">
                  <c:v>12887.5</c:v>
                </c:pt>
                <c:pt idx="18">
                  <c:v>12887.5</c:v>
                </c:pt>
                <c:pt idx="19">
                  <c:v>13753.5</c:v>
                </c:pt>
                <c:pt idx="20">
                  <c:v>13753.5</c:v>
                </c:pt>
                <c:pt idx="21">
                  <c:v>14225</c:v>
                </c:pt>
                <c:pt idx="22">
                  <c:v>14652.5</c:v>
                </c:pt>
                <c:pt idx="23">
                  <c:v>15121.5</c:v>
                </c:pt>
                <c:pt idx="24">
                  <c:v>15099.5</c:v>
                </c:pt>
                <c:pt idx="25">
                  <c:v>14650</c:v>
                </c:pt>
                <c:pt idx="26">
                  <c:v>14653.5</c:v>
                </c:pt>
                <c:pt idx="27">
                  <c:v>14653.5</c:v>
                </c:pt>
                <c:pt idx="28">
                  <c:v>14653.5</c:v>
                </c:pt>
                <c:pt idx="29">
                  <c:v>14678</c:v>
                </c:pt>
                <c:pt idx="30">
                  <c:v>14678</c:v>
                </c:pt>
                <c:pt idx="31">
                  <c:v>14678</c:v>
                </c:pt>
                <c:pt idx="32">
                  <c:v>14695.5</c:v>
                </c:pt>
                <c:pt idx="33">
                  <c:v>15131.5</c:v>
                </c:pt>
                <c:pt idx="34">
                  <c:v>15530.5</c:v>
                </c:pt>
                <c:pt idx="35">
                  <c:v>17318.5</c:v>
                </c:pt>
                <c:pt idx="36">
                  <c:v>17337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0">
                  <c:v>0</c:v>
                </c:pt>
                <c:pt idx="1">
                  <c:v>-0.11371499999950174</c:v>
                </c:pt>
                <c:pt idx="2">
                  <c:v>-0.15363999999681255</c:v>
                </c:pt>
                <c:pt idx="4">
                  <c:v>4.1859999997541308E-2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48-420E-90B3-84E594C6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1832"/>
        <c:axId val="1"/>
      </c:scatterChart>
      <c:valAx>
        <c:axId val="6007718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21953449512505"/>
          <c:y val="0.92419947506561673"/>
          <c:w val="0.6951961410229126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6AC9394-C228-CE2D-567C-4C2F17D27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47813C4-7238-87C4-50CE-5F0E9E82E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94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var.astro.cz/oejv/issues/oejv0094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var.astro.cz/oejv/issues/oejv0094.pdf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6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35" t="s">
        <v>33</v>
      </c>
    </row>
    <row r="2" spans="1:6" x14ac:dyDescent="0.2">
      <c r="A2" t="s">
        <v>25</v>
      </c>
      <c r="B2" t="s">
        <v>41</v>
      </c>
      <c r="C2" s="2"/>
      <c r="D2" s="2"/>
    </row>
    <row r="3" spans="1:6" ht="13.5" thickBot="1" x14ac:dyDescent="0.25"/>
    <row r="4" spans="1:6" ht="14.25" thickTop="1" thickBot="1" x14ac:dyDescent="0.25">
      <c r="A4" s="4" t="s">
        <v>2</v>
      </c>
      <c r="C4" s="7" t="s">
        <v>42</v>
      </c>
      <c r="D4" s="8" t="s">
        <v>42</v>
      </c>
    </row>
    <row r="5" spans="1:6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6" x14ac:dyDescent="0.2">
      <c r="A6" s="4" t="s">
        <v>3</v>
      </c>
    </row>
    <row r="7" spans="1:6" x14ac:dyDescent="0.2">
      <c r="A7" t="s">
        <v>4</v>
      </c>
      <c r="C7" s="27">
        <v>45136.404499999997</v>
      </c>
    </row>
    <row r="8" spans="1:6" x14ac:dyDescent="0.2">
      <c r="A8" t="s">
        <v>5</v>
      </c>
      <c r="C8" s="9">
        <v>0.81877</v>
      </c>
      <c r="D8" t="s">
        <v>40</v>
      </c>
    </row>
    <row r="9" spans="1:6" x14ac:dyDescent="0.2">
      <c r="A9" s="25" t="s">
        <v>32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6" x14ac:dyDescent="0.2">
      <c r="A11" s="11" t="s">
        <v>17</v>
      </c>
      <c r="B11" s="11"/>
      <c r="C11" s="22">
        <f ca="1">INTERCEPT(INDIRECT($D$9):G990,INDIRECT($C$9):F990)</f>
        <v>0.10277236884126616</v>
      </c>
      <c r="D11" s="2"/>
      <c r="E11" s="11"/>
    </row>
    <row r="12" spans="1:6" x14ac:dyDescent="0.2">
      <c r="A12" s="11" t="s">
        <v>18</v>
      </c>
      <c r="B12" s="11"/>
      <c r="C12" s="22">
        <f ca="1">SLOPE(INDIRECT($D$9):G990,INDIRECT($C$9):F990)</f>
        <v>-2.4876257532486814E-7</v>
      </c>
      <c r="D12" s="2"/>
      <c r="E12" s="11"/>
    </row>
    <row r="13" spans="1:6" x14ac:dyDescent="0.2">
      <c r="A13" s="11" t="s">
        <v>20</v>
      </c>
      <c r="B13" s="11"/>
      <c r="C13" s="2" t="s">
        <v>15</v>
      </c>
    </row>
    <row r="14" spans="1:6" x14ac:dyDescent="0.2">
      <c r="A14" s="11"/>
      <c r="B14" s="11"/>
      <c r="C14" s="11"/>
    </row>
    <row r="15" spans="1:6" x14ac:dyDescent="0.2">
      <c r="A15" s="13" t="s">
        <v>19</v>
      </c>
      <c r="B15" s="11"/>
      <c r="C15" s="14">
        <f ca="1">(C7+C11)+(C8+C12)*INT(MAX(F21:F3531))</f>
        <v>59331.518449572068</v>
      </c>
      <c r="E15" s="15" t="s">
        <v>44</v>
      </c>
      <c r="F15" s="12">
        <v>1</v>
      </c>
    </row>
    <row r="16" spans="1:6" x14ac:dyDescent="0.2">
      <c r="A16" s="17" t="s">
        <v>6</v>
      </c>
      <c r="B16" s="11"/>
      <c r="C16" s="18">
        <f ca="1">+C8+C12</f>
        <v>0.81876975123742468</v>
      </c>
      <c r="E16" s="15" t="s">
        <v>29</v>
      </c>
      <c r="F16" s="16">
        <f ca="1">NOW()+15018.5+$C$5/24</f>
        <v>59970.779854398148</v>
      </c>
    </row>
    <row r="17" spans="1:21" ht="13.5" thickBot="1" x14ac:dyDescent="0.25">
      <c r="A17" s="15" t="s">
        <v>26</v>
      </c>
      <c r="B17" s="11"/>
      <c r="C17" s="11">
        <f>COUNT(C21:C2189)</f>
        <v>37</v>
      </c>
      <c r="E17" s="15" t="s">
        <v>45</v>
      </c>
      <c r="F17" s="16">
        <f ca="1">ROUND(2*(F16-$C$7)/$C$8,0)/2+F15</f>
        <v>18119</v>
      </c>
    </row>
    <row r="18" spans="1:21" ht="14.25" thickTop="1" thickBot="1" x14ac:dyDescent="0.25">
      <c r="A18" s="17" t="s">
        <v>7</v>
      </c>
      <c r="B18" s="11"/>
      <c r="C18" s="20">
        <f ca="1">+C15</f>
        <v>59331.518449572068</v>
      </c>
      <c r="D18" s="21">
        <f ca="1">+C16</f>
        <v>0.81876975123742468</v>
      </c>
      <c r="E18" s="15" t="s">
        <v>30</v>
      </c>
      <c r="F18" s="24">
        <f ca="1">ROUND(2*(F16-$C$15)/$C$16,0)/2+F15</f>
        <v>782</v>
      </c>
    </row>
    <row r="19" spans="1:21" ht="13.5" thickTop="1" x14ac:dyDescent="0.2">
      <c r="E19" s="15" t="s">
        <v>31</v>
      </c>
      <c r="F19" s="19">
        <f ca="1">+$C$15+$C$16*F18-15018.5-$C$5/24</f>
        <v>44953.692228373067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58</v>
      </c>
      <c r="I20" s="6" t="s">
        <v>61</v>
      </c>
      <c r="J20" s="6" t="s">
        <v>55</v>
      </c>
      <c r="K20" s="6" t="s">
        <v>53</v>
      </c>
      <c r="L20" s="6" t="s">
        <v>122</v>
      </c>
      <c r="M20" s="6" t="s">
        <v>123</v>
      </c>
      <c r="N20" s="6" t="s">
        <v>124</v>
      </c>
      <c r="O20" s="6" t="s">
        <v>24</v>
      </c>
      <c r="P20" s="5" t="s">
        <v>23</v>
      </c>
      <c r="Q20" s="3" t="s">
        <v>16</v>
      </c>
      <c r="U20" s="28" t="s">
        <v>43</v>
      </c>
    </row>
    <row r="21" spans="1:21" x14ac:dyDescent="0.2">
      <c r="A21" s="29" t="s">
        <v>34</v>
      </c>
      <c r="B21" s="30" t="s">
        <v>35</v>
      </c>
      <c r="C21" s="29">
        <v>45136.404499999997</v>
      </c>
      <c r="D21" s="29" t="s">
        <v>15</v>
      </c>
      <c r="E21">
        <f t="shared" ref="E21:E42" si="0">+(C21-C$7)/C$8</f>
        <v>0</v>
      </c>
      <c r="F21">
        <f t="shared" ref="F21:F52" si="1">ROUND(2*E21,0)/2</f>
        <v>0</v>
      </c>
      <c r="J21" t="s">
        <v>125</v>
      </c>
      <c r="O21">
        <f t="shared" ref="O21:O42" ca="1" si="2">+C$11+C$12*$F21</f>
        <v>0.10277236884126616</v>
      </c>
      <c r="Q21" s="1">
        <f t="shared" ref="Q21:Q42" si="3">+C21-15018.5</f>
        <v>30117.904499999997</v>
      </c>
      <c r="U21" s="24">
        <v>0</v>
      </c>
    </row>
    <row r="22" spans="1:21" x14ac:dyDescent="0.2">
      <c r="A22" s="29" t="s">
        <v>36</v>
      </c>
      <c r="B22" s="31" t="s">
        <v>35</v>
      </c>
      <c r="C22" s="32">
        <v>53233.5167</v>
      </c>
      <c r="D22" s="32">
        <v>2.9999999999999997E-4</v>
      </c>
      <c r="E22">
        <f t="shared" si="0"/>
        <v>9889.3611148430009</v>
      </c>
      <c r="F22">
        <f t="shared" si="1"/>
        <v>9889.5</v>
      </c>
      <c r="O22">
        <f t="shared" ca="1" si="2"/>
        <v>0.10031223135259087</v>
      </c>
      <c r="Q22" s="1">
        <f t="shared" si="3"/>
        <v>38215.0167</v>
      </c>
      <c r="U22" s="24">
        <v>-0.11371499999950174</v>
      </c>
    </row>
    <row r="23" spans="1:21" x14ac:dyDescent="0.2">
      <c r="A23" s="29" t="s">
        <v>37</v>
      </c>
      <c r="B23" s="31" t="s">
        <v>35</v>
      </c>
      <c r="C23" s="32">
        <v>53448.403899999998</v>
      </c>
      <c r="D23" s="32">
        <v>2.0000000000000001E-4</v>
      </c>
      <c r="E23">
        <f t="shared" si="0"/>
        <v>10151.812352675355</v>
      </c>
      <c r="F23">
        <f t="shared" si="1"/>
        <v>10152</v>
      </c>
      <c r="O23">
        <f t="shared" ca="1" si="2"/>
        <v>0.10024693117656809</v>
      </c>
      <c r="Q23" s="1">
        <f t="shared" si="3"/>
        <v>38429.903899999998</v>
      </c>
      <c r="U23" s="24">
        <v>-0.15363999999681255</v>
      </c>
    </row>
    <row r="24" spans="1:21" x14ac:dyDescent="0.2">
      <c r="A24" s="29" t="s">
        <v>36</v>
      </c>
      <c r="B24" s="31" t="s">
        <v>38</v>
      </c>
      <c r="C24" s="32">
        <v>53612.413800000002</v>
      </c>
      <c r="D24" s="32">
        <v>1E-4</v>
      </c>
      <c r="E24">
        <f t="shared" si="0"/>
        <v>10352.124894659068</v>
      </c>
      <c r="F24">
        <f t="shared" si="1"/>
        <v>10352</v>
      </c>
      <c r="G24">
        <f>+C24-(C$7+F24*C$8)</f>
        <v>0.10226000000693602</v>
      </c>
      <c r="K24">
        <f>+G24</f>
        <v>0.10226000000693602</v>
      </c>
      <c r="O24">
        <f t="shared" ca="1" si="2"/>
        <v>0.10019717866150313</v>
      </c>
      <c r="Q24" s="1">
        <f t="shared" si="3"/>
        <v>38593.913800000002</v>
      </c>
    </row>
    <row r="25" spans="1:21" x14ac:dyDescent="0.2">
      <c r="A25" s="29" t="s">
        <v>36</v>
      </c>
      <c r="B25" s="31" t="s">
        <v>38</v>
      </c>
      <c r="C25" s="32">
        <v>53653.291899999997</v>
      </c>
      <c r="D25" s="32">
        <v>1E-4</v>
      </c>
      <c r="E25">
        <f t="shared" si="0"/>
        <v>10402.05112546869</v>
      </c>
      <c r="F25">
        <f t="shared" si="1"/>
        <v>10402</v>
      </c>
      <c r="O25">
        <f t="shared" ca="1" si="2"/>
        <v>0.10018474053273688</v>
      </c>
      <c r="Q25" s="1">
        <f t="shared" si="3"/>
        <v>38634.791899999997</v>
      </c>
      <c r="U25" s="24">
        <v>4.1859999997541308E-2</v>
      </c>
    </row>
    <row r="26" spans="1:21" x14ac:dyDescent="0.2">
      <c r="A26" s="49" t="s">
        <v>39</v>
      </c>
      <c r="B26" s="50" t="s">
        <v>38</v>
      </c>
      <c r="C26" s="49">
        <v>54535.572</v>
      </c>
      <c r="D26" s="29">
        <v>5.0000000000000001E-4</v>
      </c>
      <c r="E26">
        <f t="shared" si="0"/>
        <v>11479.618818471614</v>
      </c>
      <c r="F26">
        <f t="shared" si="1"/>
        <v>11479.5</v>
      </c>
      <c r="G26">
        <f t="shared" ref="G26:G41" si="4">+C26-(C$7+F26*C$8)</f>
        <v>9.7285000003466848E-2</v>
      </c>
      <c r="K26">
        <f>+G26</f>
        <v>9.7285000003466848E-2</v>
      </c>
      <c r="O26">
        <f t="shared" ca="1" si="2"/>
        <v>9.9916698857824338E-2</v>
      </c>
      <c r="Q26" s="1">
        <f t="shared" si="3"/>
        <v>39517.072</v>
      </c>
    </row>
    <row r="27" spans="1:21" x14ac:dyDescent="0.2">
      <c r="A27" s="49" t="s">
        <v>39</v>
      </c>
      <c r="B27" s="50" t="s">
        <v>38</v>
      </c>
      <c r="C27" s="49">
        <v>54535.573100000001</v>
      </c>
      <c r="D27" s="29">
        <v>6.9999999999999999E-4</v>
      </c>
      <c r="E27">
        <f t="shared" si="0"/>
        <v>11479.620161950248</v>
      </c>
      <c r="F27">
        <f t="shared" si="1"/>
        <v>11479.5</v>
      </c>
      <c r="G27">
        <f t="shared" si="4"/>
        <v>9.8385000004782341E-2</v>
      </c>
      <c r="K27">
        <f>+G27</f>
        <v>9.8385000004782341E-2</v>
      </c>
      <c r="O27">
        <f t="shared" ca="1" si="2"/>
        <v>9.9916698857824338E-2</v>
      </c>
      <c r="Q27" s="1">
        <f t="shared" si="3"/>
        <v>39517.073100000001</v>
      </c>
    </row>
    <row r="28" spans="1:21" x14ac:dyDescent="0.2">
      <c r="A28" s="49" t="s">
        <v>39</v>
      </c>
      <c r="B28" s="50" t="s">
        <v>38</v>
      </c>
      <c r="C28" s="49">
        <v>54599.438000000002</v>
      </c>
      <c r="D28" s="29">
        <v>8.0000000000000004E-4</v>
      </c>
      <c r="E28">
        <f t="shared" si="0"/>
        <v>11557.621187879386</v>
      </c>
      <c r="F28">
        <f t="shared" si="1"/>
        <v>11557.5</v>
      </c>
      <c r="G28">
        <f t="shared" si="4"/>
        <v>9.9225000005390029E-2</v>
      </c>
      <c r="K28">
        <f>+G28</f>
        <v>9.9225000005390029E-2</v>
      </c>
      <c r="O28">
        <f t="shared" ca="1" si="2"/>
        <v>9.9897295376948997E-2</v>
      </c>
      <c r="Q28" s="1">
        <f t="shared" si="3"/>
        <v>39580.938000000002</v>
      </c>
    </row>
    <row r="29" spans="1:21" x14ac:dyDescent="0.2">
      <c r="A29" s="49" t="s">
        <v>39</v>
      </c>
      <c r="B29" s="50" t="s">
        <v>38</v>
      </c>
      <c r="C29" s="49">
        <v>54599.438399999999</v>
      </c>
      <c r="D29" s="29">
        <v>5.9999999999999995E-4</v>
      </c>
      <c r="E29">
        <f t="shared" si="0"/>
        <v>11557.621676417068</v>
      </c>
      <c r="F29">
        <f t="shared" si="1"/>
        <v>11557.5</v>
      </c>
      <c r="G29">
        <f t="shared" si="4"/>
        <v>9.9625000002561137E-2</v>
      </c>
      <c r="K29">
        <f>+G29</f>
        <v>9.9625000002561137E-2</v>
      </c>
      <c r="O29">
        <f t="shared" ca="1" si="2"/>
        <v>9.9897295376948997E-2</v>
      </c>
      <c r="Q29" s="1">
        <f t="shared" si="3"/>
        <v>39580.938399999999</v>
      </c>
    </row>
    <row r="30" spans="1:21" x14ac:dyDescent="0.2">
      <c r="A30" s="49" t="s">
        <v>39</v>
      </c>
      <c r="B30" s="50" t="s">
        <v>38</v>
      </c>
      <c r="C30" s="49">
        <v>54599.439299999998</v>
      </c>
      <c r="D30" s="29">
        <v>5.9999999999999995E-4</v>
      </c>
      <c r="E30">
        <f t="shared" si="0"/>
        <v>11557.622775626856</v>
      </c>
      <c r="F30">
        <f t="shared" si="1"/>
        <v>11557.5</v>
      </c>
      <c r="G30">
        <f t="shared" si="4"/>
        <v>0.1005250000016531</v>
      </c>
      <c r="K30">
        <f>+G30</f>
        <v>0.1005250000016531</v>
      </c>
      <c r="O30">
        <f t="shared" ca="1" si="2"/>
        <v>9.9897295376948997E-2</v>
      </c>
      <c r="Q30" s="1">
        <f t="shared" si="3"/>
        <v>39580.939299999998</v>
      </c>
    </row>
    <row r="31" spans="1:21" x14ac:dyDescent="0.2">
      <c r="A31" s="33" t="s">
        <v>47</v>
      </c>
      <c r="B31" s="34" t="s">
        <v>38</v>
      </c>
      <c r="C31" s="33">
        <v>54933.498099999997</v>
      </c>
      <c r="D31" s="33">
        <v>8.9999999999999998E-4</v>
      </c>
      <c r="E31">
        <f t="shared" si="0"/>
        <v>11965.62355728715</v>
      </c>
      <c r="F31">
        <f t="shared" si="1"/>
        <v>11965.5</v>
      </c>
      <c r="G31">
        <f t="shared" si="4"/>
        <v>0.10116500000003725</v>
      </c>
      <c r="H31">
        <f>+G31</f>
        <v>0.10116500000003725</v>
      </c>
      <c r="J31">
        <f>H31</f>
        <v>0.10116500000003725</v>
      </c>
      <c r="O31">
        <f t="shared" ca="1" si="2"/>
        <v>9.9795800246216454E-2</v>
      </c>
      <c r="Q31" s="1">
        <f t="shared" si="3"/>
        <v>39914.998099999997</v>
      </c>
    </row>
    <row r="32" spans="1:21" x14ac:dyDescent="0.2">
      <c r="A32" s="49" t="s">
        <v>40</v>
      </c>
      <c r="B32" s="50" t="s">
        <v>38</v>
      </c>
      <c r="C32" s="49">
        <v>54938.410499999998</v>
      </c>
      <c r="D32" s="29">
        <v>4.0000000000000002E-4</v>
      </c>
      <c r="E32">
        <f t="shared" si="0"/>
        <v>11971.623288591425</v>
      </c>
      <c r="F32">
        <f t="shared" si="1"/>
        <v>11971.5</v>
      </c>
      <c r="G32">
        <f t="shared" si="4"/>
        <v>0.10094499999831896</v>
      </c>
      <c r="K32">
        <f>+G32</f>
        <v>0.10094499999831896</v>
      </c>
      <c r="O32">
        <f t="shared" ca="1" si="2"/>
        <v>9.9794307670764498E-2</v>
      </c>
      <c r="Q32" s="1">
        <f t="shared" si="3"/>
        <v>39919.910499999998</v>
      </c>
    </row>
    <row r="33" spans="1:17" x14ac:dyDescent="0.2">
      <c r="A33" s="49" t="s">
        <v>40</v>
      </c>
      <c r="B33" s="50" t="s">
        <v>38</v>
      </c>
      <c r="C33" s="49">
        <v>54938.411500000002</v>
      </c>
      <c r="D33" s="29">
        <v>1E-3</v>
      </c>
      <c r="E33">
        <f t="shared" si="0"/>
        <v>11971.624509935642</v>
      </c>
      <c r="F33">
        <f t="shared" si="1"/>
        <v>11971.5</v>
      </c>
      <c r="G33">
        <f t="shared" si="4"/>
        <v>0.10194500000216067</v>
      </c>
      <c r="K33">
        <f>+G33</f>
        <v>0.10194500000216067</v>
      </c>
      <c r="O33">
        <f t="shared" ca="1" si="2"/>
        <v>9.9794307670764498E-2</v>
      </c>
      <c r="Q33" s="1">
        <f t="shared" si="3"/>
        <v>39919.911500000002</v>
      </c>
    </row>
    <row r="34" spans="1:17" x14ac:dyDescent="0.2">
      <c r="A34" s="49" t="s">
        <v>40</v>
      </c>
      <c r="B34" s="50" t="s">
        <v>38</v>
      </c>
      <c r="C34" s="49">
        <v>54938.411899999999</v>
      </c>
      <c r="D34" s="29">
        <v>5.9999999999999995E-4</v>
      </c>
      <c r="E34">
        <f t="shared" si="0"/>
        <v>11971.624998473322</v>
      </c>
      <c r="F34">
        <f t="shared" si="1"/>
        <v>11971.5</v>
      </c>
      <c r="G34">
        <f t="shared" si="4"/>
        <v>0.10234499999933178</v>
      </c>
      <c r="K34">
        <f>+G34</f>
        <v>0.10234499999933178</v>
      </c>
      <c r="O34">
        <f t="shared" ca="1" si="2"/>
        <v>9.9794307670764498E-2</v>
      </c>
      <c r="Q34" s="1">
        <f t="shared" si="3"/>
        <v>39919.911899999999</v>
      </c>
    </row>
    <row r="35" spans="1:17" x14ac:dyDescent="0.2">
      <c r="A35" s="49" t="s">
        <v>46</v>
      </c>
      <c r="B35" s="50" t="s">
        <v>38</v>
      </c>
      <c r="C35" s="49">
        <v>55263.4594</v>
      </c>
      <c r="D35" s="29">
        <v>8.0000000000000004E-4</v>
      </c>
      <c r="E35">
        <f t="shared" si="0"/>
        <v>12368.619881041077</v>
      </c>
      <c r="F35">
        <f t="shared" si="1"/>
        <v>12368.5</v>
      </c>
      <c r="G35">
        <f t="shared" si="4"/>
        <v>9.8155000006954651E-2</v>
      </c>
      <c r="K35">
        <f>+G35</f>
        <v>9.8155000006954651E-2</v>
      </c>
      <c r="O35">
        <f t="shared" ca="1" si="2"/>
        <v>9.9695548928360522E-2</v>
      </c>
      <c r="Q35" s="1">
        <f t="shared" si="3"/>
        <v>40244.9594</v>
      </c>
    </row>
    <row r="36" spans="1:17" x14ac:dyDescent="0.2">
      <c r="A36" s="51" t="s">
        <v>46</v>
      </c>
      <c r="B36" s="52" t="s">
        <v>38</v>
      </c>
      <c r="C36" s="51">
        <v>55263.459600000002</v>
      </c>
      <c r="D36" s="51">
        <v>8.0000000000000004E-4</v>
      </c>
      <c r="E36">
        <f t="shared" si="0"/>
        <v>12368.620125309923</v>
      </c>
      <c r="F36">
        <f t="shared" si="1"/>
        <v>12368.5</v>
      </c>
      <c r="G36">
        <f t="shared" si="4"/>
        <v>9.8355000009178184E-2</v>
      </c>
      <c r="K36">
        <f>+G36</f>
        <v>9.8355000009178184E-2</v>
      </c>
      <c r="O36">
        <f t="shared" ca="1" si="2"/>
        <v>9.9695548928360522E-2</v>
      </c>
      <c r="Q36" s="1">
        <f t="shared" si="3"/>
        <v>40244.959600000002</v>
      </c>
    </row>
    <row r="37" spans="1:17" x14ac:dyDescent="0.2">
      <c r="A37" s="53" t="s">
        <v>48</v>
      </c>
      <c r="B37" s="54" t="s">
        <v>38</v>
      </c>
      <c r="C37" s="53">
        <v>55315.450499999999</v>
      </c>
      <c r="D37" s="53">
        <v>1.2999999999999999E-2</v>
      </c>
      <c r="E37">
        <f t="shared" si="0"/>
        <v>12432.118910072428</v>
      </c>
      <c r="F37">
        <f t="shared" si="1"/>
        <v>12432</v>
      </c>
      <c r="G37">
        <f t="shared" si="4"/>
        <v>9.73599999997532E-2</v>
      </c>
      <c r="J37">
        <f>G37</f>
        <v>9.73599999997532E-2</v>
      </c>
      <c r="O37">
        <f t="shared" ca="1" si="2"/>
        <v>9.9679752504827399E-2</v>
      </c>
      <c r="Q37" s="1">
        <f t="shared" si="3"/>
        <v>40296.950499999999</v>
      </c>
    </row>
    <row r="38" spans="1:17" x14ac:dyDescent="0.2">
      <c r="A38" s="55" t="s">
        <v>49</v>
      </c>
      <c r="B38" s="52" t="s">
        <v>38</v>
      </c>
      <c r="C38" s="51">
        <v>55688.400979999999</v>
      </c>
      <c r="D38" s="51">
        <v>4.0000000000000002E-4</v>
      </c>
      <c r="E38">
        <f t="shared" si="0"/>
        <v>12887.619819973865</v>
      </c>
      <c r="F38">
        <f t="shared" si="1"/>
        <v>12887.5</v>
      </c>
      <c r="G38">
        <f t="shared" si="4"/>
        <v>9.8105000004579779E-2</v>
      </c>
      <c r="K38">
        <f>+G38</f>
        <v>9.8105000004579779E-2</v>
      </c>
      <c r="O38">
        <f t="shared" ca="1" si="2"/>
        <v>9.9566441151766924E-2</v>
      </c>
      <c r="Q38" s="1">
        <f t="shared" si="3"/>
        <v>40669.900979999999</v>
      </c>
    </row>
    <row r="39" spans="1:17" x14ac:dyDescent="0.2">
      <c r="A39" s="55" t="s">
        <v>49</v>
      </c>
      <c r="B39" s="52" t="s">
        <v>38</v>
      </c>
      <c r="C39" s="51">
        <v>55688.402020000001</v>
      </c>
      <c r="D39" s="51">
        <v>1E-3</v>
      </c>
      <c r="E39">
        <f t="shared" si="0"/>
        <v>12887.621090171848</v>
      </c>
      <c r="F39">
        <f t="shared" si="1"/>
        <v>12887.5</v>
      </c>
      <c r="G39">
        <f t="shared" si="4"/>
        <v>9.9145000007410999E-2</v>
      </c>
      <c r="K39">
        <f>+G39</f>
        <v>9.9145000007410999E-2</v>
      </c>
      <c r="O39">
        <f t="shared" ca="1" si="2"/>
        <v>9.9566441151766924E-2</v>
      </c>
      <c r="Q39" s="1">
        <f t="shared" si="3"/>
        <v>40669.902020000001</v>
      </c>
    </row>
    <row r="40" spans="1:17" x14ac:dyDescent="0.2">
      <c r="A40" s="55" t="s">
        <v>49</v>
      </c>
      <c r="B40" s="52" t="s">
        <v>38</v>
      </c>
      <c r="C40" s="51">
        <v>56397.455170000001</v>
      </c>
      <c r="D40" s="51">
        <v>2.9999999999999997E-4</v>
      </c>
      <c r="E40">
        <f t="shared" si="0"/>
        <v>13753.619050527015</v>
      </c>
      <c r="F40">
        <f t="shared" si="1"/>
        <v>13753.5</v>
      </c>
      <c r="G40">
        <f t="shared" si="4"/>
        <v>9.7475000002305023E-2</v>
      </c>
      <c r="K40">
        <f>+G40</f>
        <v>9.7475000002305023E-2</v>
      </c>
      <c r="O40">
        <f t="shared" ca="1" si="2"/>
        <v>9.9351012761535587E-2</v>
      </c>
      <c r="Q40" s="1">
        <f t="shared" si="3"/>
        <v>41378.955170000001</v>
      </c>
    </row>
    <row r="41" spans="1:17" x14ac:dyDescent="0.2">
      <c r="A41" s="55" t="s">
        <v>49</v>
      </c>
      <c r="B41" s="52" t="s">
        <v>38</v>
      </c>
      <c r="C41" s="51">
        <v>56397.455800000003</v>
      </c>
      <c r="D41" s="51">
        <v>2.9999999999999997E-4</v>
      </c>
      <c r="E41">
        <f t="shared" si="0"/>
        <v>13753.619819973872</v>
      </c>
      <c r="F41">
        <f t="shared" si="1"/>
        <v>13753.5</v>
      </c>
      <c r="G41">
        <f t="shared" si="4"/>
        <v>9.8105000004579779E-2</v>
      </c>
      <c r="K41">
        <f>+G41</f>
        <v>9.8105000004579779E-2</v>
      </c>
      <c r="O41">
        <f t="shared" ca="1" si="2"/>
        <v>9.9351012761535587E-2</v>
      </c>
      <c r="Q41" s="1">
        <f t="shared" si="3"/>
        <v>41378.955800000003</v>
      </c>
    </row>
    <row r="42" spans="1:17" x14ac:dyDescent="0.2">
      <c r="A42" s="56" t="s">
        <v>50</v>
      </c>
      <c r="B42" s="57" t="s">
        <v>38</v>
      </c>
      <c r="C42" s="56">
        <v>56783.510300000002</v>
      </c>
      <c r="D42" s="56">
        <v>1.5299999999999999E-2</v>
      </c>
      <c r="E42">
        <f t="shared" si="0"/>
        <v>14225.12524884889</v>
      </c>
      <c r="F42">
        <f t="shared" si="1"/>
        <v>14225</v>
      </c>
      <c r="G42">
        <f>+C42-(C$7+F42*C$8)</f>
        <v>0.10255000000324799</v>
      </c>
      <c r="K42">
        <f>+G42</f>
        <v>0.10255000000324799</v>
      </c>
      <c r="O42">
        <f t="shared" ca="1" si="2"/>
        <v>9.9233721207269907E-2</v>
      </c>
      <c r="Q42" s="1">
        <f t="shared" si="3"/>
        <v>41765.010300000002</v>
      </c>
    </row>
    <row r="43" spans="1:17" x14ac:dyDescent="0.2">
      <c r="A43" s="58" t="s">
        <v>1</v>
      </c>
      <c r="B43" s="59" t="s">
        <v>38</v>
      </c>
      <c r="C43" s="60">
        <v>57133.532599999999</v>
      </c>
      <c r="D43" s="60">
        <v>6.1999999999999998E-3</v>
      </c>
      <c r="E43">
        <f t="shared" ref="E43:E52" si="5">+(C43-C$7)/C$8</f>
        <v>14652.62295882849</v>
      </c>
      <c r="F43">
        <f t="shared" si="1"/>
        <v>14652.5</v>
      </c>
      <c r="G43">
        <f t="shared" ref="G43:G52" si="6">+C43-(C$7+F43*C$8)</f>
        <v>0.10067500000150176</v>
      </c>
      <c r="K43">
        <f t="shared" ref="K43:K52" si="7">+G43</f>
        <v>0.10067500000150176</v>
      </c>
      <c r="O43">
        <f t="shared" ref="O43:O52" ca="1" si="8">+C$11+C$12*$F43</f>
        <v>9.9127375206318522E-2</v>
      </c>
      <c r="Q43" s="1">
        <f t="shared" ref="Q43:Q52" si="9">+C43-15018.5</f>
        <v>42115.032599999999</v>
      </c>
    </row>
    <row r="44" spans="1:17" x14ac:dyDescent="0.2">
      <c r="A44" s="58" t="s">
        <v>1</v>
      </c>
      <c r="B44" s="59" t="s">
        <v>38</v>
      </c>
      <c r="C44" s="60">
        <v>57517.533300000003</v>
      </c>
      <c r="D44" s="60">
        <v>7.1000000000000004E-3</v>
      </c>
      <c r="E44">
        <f t="shared" si="5"/>
        <v>15121.619990962061</v>
      </c>
      <c r="F44">
        <f t="shared" si="1"/>
        <v>15121.5</v>
      </c>
      <c r="G44">
        <f t="shared" si="6"/>
        <v>9.8245000008319039E-2</v>
      </c>
      <c r="K44">
        <f t="shared" si="7"/>
        <v>9.8245000008319039E-2</v>
      </c>
      <c r="O44">
        <f t="shared" ca="1" si="8"/>
        <v>9.9010705558491161E-2</v>
      </c>
      <c r="Q44" s="1">
        <f t="shared" si="9"/>
        <v>42499.033300000003</v>
      </c>
    </row>
    <row r="45" spans="1:17" x14ac:dyDescent="0.2">
      <c r="A45" s="58" t="s">
        <v>1</v>
      </c>
      <c r="B45" s="59" t="s">
        <v>38</v>
      </c>
      <c r="C45" s="60">
        <v>57499.520499999999</v>
      </c>
      <c r="D45" s="60">
        <v>8.0000000000000002E-3</v>
      </c>
      <c r="E45">
        <f t="shared" si="5"/>
        <v>15099.620161950244</v>
      </c>
      <c r="F45">
        <f t="shared" si="1"/>
        <v>15099.5</v>
      </c>
      <c r="G45">
        <f t="shared" si="6"/>
        <v>9.8385000004782341E-2</v>
      </c>
      <c r="I45">
        <f>+G45</f>
        <v>9.8385000004782341E-2</v>
      </c>
      <c r="O45">
        <f t="shared" ca="1" si="8"/>
        <v>9.9016178335148308E-2</v>
      </c>
      <c r="Q45" s="1">
        <f t="shared" si="9"/>
        <v>42481.020499999999</v>
      </c>
    </row>
    <row r="46" spans="1:17" x14ac:dyDescent="0.2">
      <c r="A46" s="58" t="s">
        <v>1</v>
      </c>
      <c r="B46" s="59" t="s">
        <v>38</v>
      </c>
      <c r="C46" s="60">
        <v>57131.480799999998</v>
      </c>
      <c r="D46" s="60">
        <v>8.6E-3</v>
      </c>
      <c r="E46">
        <f t="shared" si="5"/>
        <v>14650.117004775457</v>
      </c>
      <c r="F46">
        <f t="shared" si="1"/>
        <v>14650</v>
      </c>
      <c r="G46">
        <f t="shared" si="6"/>
        <v>9.5800000002782326E-2</v>
      </c>
      <c r="K46">
        <f t="shared" si="7"/>
        <v>9.5800000002782326E-2</v>
      </c>
      <c r="O46">
        <f t="shared" ca="1" si="8"/>
        <v>9.9127997112756841E-2</v>
      </c>
      <c r="Q46" s="1">
        <f t="shared" si="9"/>
        <v>42112.980799999998</v>
      </c>
    </row>
    <row r="47" spans="1:17" x14ac:dyDescent="0.2">
      <c r="A47" s="61" t="s">
        <v>126</v>
      </c>
      <c r="B47" s="62" t="s">
        <v>38</v>
      </c>
      <c r="C47" s="63">
        <v>57134.348299999998</v>
      </c>
      <c r="D47" s="63">
        <v>2.9999999999999997E-4</v>
      </c>
      <c r="E47">
        <f t="shared" si="5"/>
        <v>14653.619209301758</v>
      </c>
      <c r="F47">
        <f t="shared" si="1"/>
        <v>14653.5</v>
      </c>
      <c r="G47">
        <f t="shared" si="6"/>
        <v>9.7605000002658926E-2</v>
      </c>
      <c r="K47">
        <f t="shared" si="7"/>
        <v>9.7605000002658926E-2</v>
      </c>
      <c r="O47">
        <f t="shared" ca="1" si="8"/>
        <v>9.9127126443743205E-2</v>
      </c>
      <c r="Q47" s="1">
        <f t="shared" si="9"/>
        <v>42115.848299999998</v>
      </c>
    </row>
    <row r="48" spans="1:17" x14ac:dyDescent="0.2">
      <c r="A48" s="61" t="s">
        <v>126</v>
      </c>
      <c r="B48" s="62" t="s">
        <v>38</v>
      </c>
      <c r="C48" s="63">
        <v>57134.348660000003</v>
      </c>
      <c r="D48" s="63">
        <v>2.9999999999999997E-4</v>
      </c>
      <c r="E48">
        <f t="shared" si="5"/>
        <v>14653.619648985681</v>
      </c>
      <c r="F48">
        <f t="shared" si="1"/>
        <v>14653.5</v>
      </c>
      <c r="G48">
        <f t="shared" si="6"/>
        <v>9.7965000008116476E-2</v>
      </c>
      <c r="K48">
        <f t="shared" si="7"/>
        <v>9.7965000008116476E-2</v>
      </c>
      <c r="O48">
        <f t="shared" ca="1" si="8"/>
        <v>9.9127126443743205E-2</v>
      </c>
      <c r="Q48" s="1">
        <f t="shared" si="9"/>
        <v>42115.848660000003</v>
      </c>
    </row>
    <row r="49" spans="1:17" x14ac:dyDescent="0.2">
      <c r="A49" s="61" t="s">
        <v>126</v>
      </c>
      <c r="B49" s="62" t="s">
        <v>38</v>
      </c>
      <c r="C49" s="63">
        <v>57134.348729999998</v>
      </c>
      <c r="D49" s="63">
        <v>2.9999999999999997E-4</v>
      </c>
      <c r="E49">
        <f t="shared" si="5"/>
        <v>14653.619734479769</v>
      </c>
      <c r="F49">
        <f t="shared" si="1"/>
        <v>14653.5</v>
      </c>
      <c r="G49">
        <f t="shared" si="6"/>
        <v>9.8035000002710149E-2</v>
      </c>
      <c r="K49">
        <f t="shared" si="7"/>
        <v>9.8035000002710149E-2</v>
      </c>
      <c r="O49">
        <f t="shared" ca="1" si="8"/>
        <v>9.9127126443743205E-2</v>
      </c>
      <c r="Q49" s="1">
        <f t="shared" si="9"/>
        <v>42115.848729999998</v>
      </c>
    </row>
    <row r="50" spans="1:17" x14ac:dyDescent="0.2">
      <c r="A50" s="61" t="s">
        <v>126</v>
      </c>
      <c r="B50" s="62" t="s">
        <v>35</v>
      </c>
      <c r="C50" s="63">
        <v>57154.41519</v>
      </c>
      <c r="D50" s="63">
        <v>1.1999999999999999E-3</v>
      </c>
      <c r="E50">
        <f t="shared" si="5"/>
        <v>14678.127789244847</v>
      </c>
      <c r="F50">
        <f t="shared" si="1"/>
        <v>14678</v>
      </c>
      <c r="G50">
        <f t="shared" si="6"/>
        <v>0.10463000000163447</v>
      </c>
      <c r="K50">
        <f t="shared" si="7"/>
        <v>0.10463000000163447</v>
      </c>
      <c r="O50">
        <f t="shared" ca="1" si="8"/>
        <v>9.9121031760647738E-2</v>
      </c>
      <c r="Q50" s="1">
        <f t="shared" si="9"/>
        <v>42135.91519</v>
      </c>
    </row>
    <row r="51" spans="1:17" x14ac:dyDescent="0.2">
      <c r="A51" s="61" t="s">
        <v>126</v>
      </c>
      <c r="B51" s="62" t="s">
        <v>35</v>
      </c>
      <c r="C51" s="63">
        <v>57154.417249999999</v>
      </c>
      <c r="D51" s="63">
        <v>1.2999999999999999E-3</v>
      </c>
      <c r="E51">
        <f t="shared" si="5"/>
        <v>14678.130305213921</v>
      </c>
      <c r="F51">
        <f t="shared" si="1"/>
        <v>14678</v>
      </c>
      <c r="G51">
        <f t="shared" si="6"/>
        <v>0.1066900000005262</v>
      </c>
      <c r="K51">
        <f t="shared" si="7"/>
        <v>0.1066900000005262</v>
      </c>
      <c r="O51">
        <f t="shared" ca="1" si="8"/>
        <v>9.9121031760647738E-2</v>
      </c>
      <c r="Q51" s="1">
        <f t="shared" si="9"/>
        <v>42135.917249999999</v>
      </c>
    </row>
    <row r="52" spans="1:17" x14ac:dyDescent="0.2">
      <c r="A52" s="61" t="s">
        <v>126</v>
      </c>
      <c r="B52" s="62" t="s">
        <v>35</v>
      </c>
      <c r="C52" s="63">
        <v>57154.420109999999</v>
      </c>
      <c r="D52" s="63">
        <v>1.5E-3</v>
      </c>
      <c r="E52">
        <f t="shared" si="5"/>
        <v>14678.133798258366</v>
      </c>
      <c r="F52">
        <f t="shared" si="1"/>
        <v>14678</v>
      </c>
      <c r="G52">
        <f t="shared" si="6"/>
        <v>0.1095500000010361</v>
      </c>
      <c r="K52">
        <f t="shared" si="7"/>
        <v>0.1095500000010361</v>
      </c>
      <c r="O52">
        <f t="shared" ca="1" si="8"/>
        <v>9.9121031760647738E-2</v>
      </c>
      <c r="Q52" s="1">
        <f t="shared" si="9"/>
        <v>42135.920109999999</v>
      </c>
    </row>
    <row r="53" spans="1:17" x14ac:dyDescent="0.2">
      <c r="A53" s="33" t="s">
        <v>127</v>
      </c>
      <c r="B53" s="34" t="s">
        <v>38</v>
      </c>
      <c r="C53" s="29">
        <v>57168.733500000002</v>
      </c>
      <c r="D53" s="29">
        <v>2.0000000000000001E-4</v>
      </c>
      <c r="E53">
        <f>+(C53-C$7)/C$8</f>
        <v>14695.61537428094</v>
      </c>
      <c r="F53">
        <f>ROUND(2*E53,0)/2</f>
        <v>14695.5</v>
      </c>
      <c r="G53">
        <f>+C53-(C$7+F53*C$8)</f>
        <v>9.4465000001946464E-2</v>
      </c>
      <c r="K53">
        <f>+G53</f>
        <v>9.4465000001946464E-2</v>
      </c>
      <c r="O53">
        <f ca="1">+C$11+C$12*$F53</f>
        <v>9.9116678415579557E-2</v>
      </c>
      <c r="Q53" s="1">
        <f>+C53-15018.5</f>
        <v>42150.233500000002</v>
      </c>
    </row>
    <row r="54" spans="1:17" x14ac:dyDescent="0.2">
      <c r="A54" s="33" t="s">
        <v>128</v>
      </c>
      <c r="B54" s="34" t="s">
        <v>38</v>
      </c>
      <c r="C54" s="29">
        <v>57525.717900000003</v>
      </c>
      <c r="D54" s="29">
        <v>2.0000000000000001E-4</v>
      </c>
      <c r="E54">
        <f>+(C54-C$7)/C$8</f>
        <v>15131.616204795006</v>
      </c>
      <c r="F54">
        <f>ROUND(2*E54,0)/2</f>
        <v>15131.5</v>
      </c>
      <c r="G54">
        <f>+C54-(C$7+F54*C$8)</f>
        <v>9.5145000006596092E-2</v>
      </c>
      <c r="K54">
        <f>+G54</f>
        <v>9.5145000006596092E-2</v>
      </c>
      <c r="O54">
        <f ca="1">+C$11+C$12*$F54</f>
        <v>9.900821793273791E-2</v>
      </c>
      <c r="Q54" s="1">
        <f>+C54-15018.5</f>
        <v>42507.217900000003</v>
      </c>
    </row>
    <row r="55" spans="1:17" x14ac:dyDescent="0.2">
      <c r="A55" s="64" t="s">
        <v>0</v>
      </c>
      <c r="B55" s="65" t="s">
        <v>38</v>
      </c>
      <c r="C55" s="66">
        <v>57852.402199999997</v>
      </c>
      <c r="D55" s="66">
        <v>2.5000000000000001E-3</v>
      </c>
      <c r="E55">
        <f>+(C55-C$7)/C$8</f>
        <v>15530.610183568035</v>
      </c>
      <c r="F55">
        <f>ROUND(2*E55,0)/2</f>
        <v>15530.5</v>
      </c>
      <c r="G55">
        <f>+C55-(C$7+F55*C$8)</f>
        <v>9.0215000003809109E-2</v>
      </c>
      <c r="K55">
        <f>+G55</f>
        <v>9.0215000003809109E-2</v>
      </c>
      <c r="O55">
        <f ca="1">+C$11+C$12*$F55</f>
        <v>9.8908961665183287E-2</v>
      </c>
      <c r="Q55" s="1">
        <f>+C55-15018.5</f>
        <v>42833.902199999997</v>
      </c>
    </row>
    <row r="56" spans="1:17" x14ac:dyDescent="0.2">
      <c r="A56" s="67" t="s">
        <v>129</v>
      </c>
      <c r="B56" s="68" t="s">
        <v>38</v>
      </c>
      <c r="C56" s="69">
        <v>59316.373000000138</v>
      </c>
      <c r="D56" s="67">
        <v>1E-3</v>
      </c>
      <c r="E56">
        <f t="shared" ref="E56:E57" si="10">+(C56-C$7)/C$8</f>
        <v>17318.62244586409</v>
      </c>
      <c r="F56">
        <f t="shared" ref="F56:F57" si="11">ROUND(2*E56,0)/2</f>
        <v>17318.5</v>
      </c>
      <c r="G56">
        <f t="shared" ref="G56:G57" si="12">+C56-(C$7+F56*C$8)</f>
        <v>0.10025500014307909</v>
      </c>
      <c r="K56">
        <f t="shared" ref="K56:K57" si="13">+G56</f>
        <v>0.10025500014307909</v>
      </c>
      <c r="O56">
        <f t="shared" ref="O56:O57" ca="1" si="14">+C$11+C$12*$F56</f>
        <v>9.8464174180502434E-2</v>
      </c>
      <c r="Q56" s="1">
        <f t="shared" ref="Q56:Q57" si="15">+C56-15018.5</f>
        <v>44297.873000000138</v>
      </c>
    </row>
    <row r="57" spans="1:17" x14ac:dyDescent="0.2">
      <c r="A57" s="67" t="s">
        <v>130</v>
      </c>
      <c r="B57" s="68" t="s">
        <v>38</v>
      </c>
      <c r="C57" s="69">
        <v>59331.519399999997</v>
      </c>
      <c r="D57" s="67">
        <v>2.0999999999999999E-3</v>
      </c>
      <c r="E57">
        <f t="shared" si="10"/>
        <v>17337.121413828059</v>
      </c>
      <c r="F57">
        <f t="shared" si="11"/>
        <v>17337</v>
      </c>
      <c r="G57">
        <f t="shared" si="12"/>
        <v>9.9410000002535526E-2</v>
      </c>
      <c r="K57">
        <f t="shared" si="13"/>
        <v>9.9410000002535526E-2</v>
      </c>
      <c r="O57">
        <f t="shared" ca="1" si="14"/>
        <v>9.8459572072858922E-2</v>
      </c>
      <c r="Q57" s="1">
        <f t="shared" si="15"/>
        <v>44313.019399999997</v>
      </c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honeticPr fontId="7" type="noConversion"/>
  <hyperlinks>
    <hyperlink ref="H2960" r:id="rId1" display="http://vsolj.cetus-net.org/bulletin.html" xr:uid="{00000000-0004-0000-0000-000000000000}"/>
    <hyperlink ref="H64735" r:id="rId2" display="http://vsolj.cetus-net.org/bulletin.html" xr:uid="{00000000-0004-0000-0000-000001000000}"/>
    <hyperlink ref="H64728" r:id="rId3" display="https://www.aavso.org/ejaavso" xr:uid="{00000000-0004-0000-0000-000002000000}"/>
    <hyperlink ref="AP1586" r:id="rId4" display="http://cdsbib.u-strasbg.fr/cgi-bin/cdsbib?1990RMxAA..21..381G" xr:uid="{00000000-0004-0000-0000-000003000000}"/>
    <hyperlink ref="AP1583" r:id="rId5" display="http://cdsbib.u-strasbg.fr/cgi-bin/cdsbib?1990RMxAA..21..381G" xr:uid="{00000000-0004-0000-0000-000004000000}"/>
    <hyperlink ref="AP1585" r:id="rId6" display="http://cdsbib.u-strasbg.fr/cgi-bin/cdsbib?1990RMxAA..21..381G" xr:uid="{00000000-0004-0000-0000-000005000000}"/>
    <hyperlink ref="AP1561" r:id="rId7" display="http://cdsbib.u-strasbg.fr/cgi-bin/cdsbib?1990RMxAA..21..381G" xr:uid="{00000000-0004-0000-0000-000006000000}"/>
    <hyperlink ref="I64735" r:id="rId8" display="http://vsolj.cetus-net.org/bulletin.html" xr:uid="{00000000-0004-0000-0000-000007000000}"/>
    <hyperlink ref="AQ1722" r:id="rId9" display="http://cdsbib.u-strasbg.fr/cgi-bin/cdsbib?1990RMxAA..21..381G" xr:uid="{00000000-0004-0000-0000-000008000000}"/>
    <hyperlink ref="AQ3366" r:id="rId10" display="http://cdsbib.u-strasbg.fr/cgi-bin/cdsbib?1990RMxAA..21..381G" xr:uid="{00000000-0004-0000-0000-000009000000}"/>
    <hyperlink ref="AQ1723" r:id="rId11" display="http://cdsbib.u-strasbg.fr/cgi-bin/cdsbib?1990RMxAA..21..381G" xr:uid="{00000000-0004-0000-0000-00000A000000}"/>
    <hyperlink ref="H64732" r:id="rId12" display="https://www.aavso.org/ejaavso" xr:uid="{00000000-0004-0000-0000-00000B000000}"/>
    <hyperlink ref="H2573" r:id="rId13" display="http://vsolj.cetus-net.org/bulletin.html" xr:uid="{00000000-0004-0000-0000-00000C000000}"/>
    <hyperlink ref="AP5811" r:id="rId14" display="http://cdsbib.u-strasbg.fr/cgi-bin/cdsbib?1990RMxAA..21..381G" xr:uid="{00000000-0004-0000-0000-00000D000000}"/>
    <hyperlink ref="AP5814" r:id="rId15" display="http://cdsbib.u-strasbg.fr/cgi-bin/cdsbib?1990RMxAA..21..381G" xr:uid="{00000000-0004-0000-0000-00000E000000}"/>
    <hyperlink ref="AP5812" r:id="rId16" display="http://cdsbib.u-strasbg.fr/cgi-bin/cdsbib?1990RMxAA..21..381G" xr:uid="{00000000-0004-0000-0000-00000F000000}"/>
    <hyperlink ref="AP5790" r:id="rId17" display="http://cdsbib.u-strasbg.fr/cgi-bin/cdsbib?1990RMxAA..21..381G" xr:uid="{00000000-0004-0000-0000-000010000000}"/>
    <hyperlink ref="I2573" r:id="rId18" display="http://vsolj.cetus-net.org/bulletin.html" xr:uid="{00000000-0004-0000-0000-000011000000}"/>
    <hyperlink ref="AQ5924" r:id="rId19" display="http://cdsbib.u-strasbg.fr/cgi-bin/cdsbib?1990RMxAA..21..381G" xr:uid="{00000000-0004-0000-0000-000012000000}"/>
    <hyperlink ref="AQ476" r:id="rId20" display="http://cdsbib.u-strasbg.fr/cgi-bin/cdsbib?1990RMxAA..21..381G" xr:uid="{00000000-0004-0000-0000-000013000000}"/>
    <hyperlink ref="AQ592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76"/>
  <sheetViews>
    <sheetView topLeftCell="A5" workbookViewId="0">
      <selection activeCell="A18" sqref="A18:D27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6" t="s">
        <v>51</v>
      </c>
      <c r="I1" s="37" t="s">
        <v>52</v>
      </c>
      <c r="J1" s="38" t="s">
        <v>53</v>
      </c>
    </row>
    <row r="2" spans="1:16" x14ac:dyDescent="0.2">
      <c r="I2" s="39" t="s">
        <v>54</v>
      </c>
      <c r="J2" s="40" t="s">
        <v>55</v>
      </c>
    </row>
    <row r="3" spans="1:16" x14ac:dyDescent="0.2">
      <c r="A3" s="41" t="s">
        <v>56</v>
      </c>
      <c r="I3" s="39" t="s">
        <v>57</v>
      </c>
      <c r="J3" s="40" t="s">
        <v>58</v>
      </c>
    </row>
    <row r="4" spans="1:16" x14ac:dyDescent="0.2">
      <c r="I4" s="39" t="s">
        <v>59</v>
      </c>
      <c r="J4" s="40" t="s">
        <v>58</v>
      </c>
    </row>
    <row r="5" spans="1:16" ht="13.5" thickBot="1" x14ac:dyDescent="0.25">
      <c r="I5" s="42" t="s">
        <v>60</v>
      </c>
      <c r="J5" s="43" t="s">
        <v>61</v>
      </c>
    </row>
    <row r="10" spans="1:16" ht="13.5" thickBot="1" x14ac:dyDescent="0.25"/>
    <row r="11" spans="1:16" ht="12.75" customHeight="1" thickBot="1" x14ac:dyDescent="0.25">
      <c r="A11" s="9" t="str">
        <f t="shared" ref="A11:A27" si="0">P11</f>
        <v>BAVM 209 </v>
      </c>
      <c r="B11" s="2" t="str">
        <f t="shared" ref="B11:B27" si="1">IF(H11=INT(H11),"I","II")</f>
        <v>I</v>
      </c>
      <c r="C11" s="9">
        <f t="shared" ref="C11:C27" si="2">1*G11</f>
        <v>54933.498099999997</v>
      </c>
      <c r="D11" s="11" t="str">
        <f t="shared" ref="D11:D27" si="3">VLOOKUP(F11,I$1:J$5,2,FALSE)</f>
        <v>vis</v>
      </c>
      <c r="E11" s="44">
        <f>VLOOKUP(C11,Active!C$21:E$973,3,FALSE)</f>
        <v>11965.62355728715</v>
      </c>
      <c r="F11" s="2" t="s">
        <v>60</v>
      </c>
      <c r="G11" s="11" t="str">
        <f t="shared" ref="G11:G27" si="4">MID(I11,3,LEN(I11)-3)</f>
        <v>54933.4981</v>
      </c>
      <c r="H11" s="9">
        <f t="shared" ref="H11:H27" si="5">1*K11</f>
        <v>2972</v>
      </c>
      <c r="I11" s="45" t="s">
        <v>81</v>
      </c>
      <c r="J11" s="46" t="s">
        <v>82</v>
      </c>
      <c r="K11" s="45">
        <v>2972</v>
      </c>
      <c r="L11" s="45" t="s">
        <v>83</v>
      </c>
      <c r="M11" s="46" t="s">
        <v>65</v>
      </c>
      <c r="N11" s="46" t="s">
        <v>84</v>
      </c>
      <c r="O11" s="47" t="s">
        <v>85</v>
      </c>
      <c r="P11" s="48" t="s">
        <v>86</v>
      </c>
    </row>
    <row r="12" spans="1:16" ht="12.75" customHeight="1" thickBot="1" x14ac:dyDescent="0.25">
      <c r="A12" s="9" t="str">
        <f t="shared" si="0"/>
        <v>BAVM 214 </v>
      </c>
      <c r="B12" s="2" t="str">
        <f t="shared" si="1"/>
        <v>II</v>
      </c>
      <c r="C12" s="9">
        <f t="shared" si="2"/>
        <v>55315.450499999999</v>
      </c>
      <c r="D12" s="11" t="str">
        <f t="shared" si="3"/>
        <v>vis</v>
      </c>
      <c r="E12" s="44">
        <f>VLOOKUP(C12,Active!C$21:E$973,3,FALSE)</f>
        <v>12432.118910072428</v>
      </c>
      <c r="F12" s="2" t="s">
        <v>60</v>
      </c>
      <c r="G12" s="11" t="str">
        <f t="shared" si="4"/>
        <v>55315.4505</v>
      </c>
      <c r="H12" s="9">
        <f t="shared" si="5"/>
        <v>3438.5</v>
      </c>
      <c r="I12" s="45" t="s">
        <v>102</v>
      </c>
      <c r="J12" s="46" t="s">
        <v>103</v>
      </c>
      <c r="K12" s="45">
        <v>3438.5</v>
      </c>
      <c r="L12" s="45" t="s">
        <v>64</v>
      </c>
      <c r="M12" s="46" t="s">
        <v>65</v>
      </c>
      <c r="N12" s="46" t="s">
        <v>84</v>
      </c>
      <c r="O12" s="47" t="s">
        <v>85</v>
      </c>
      <c r="P12" s="48" t="s">
        <v>104</v>
      </c>
    </row>
    <row r="13" spans="1:16" ht="12.75" customHeight="1" thickBot="1" x14ac:dyDescent="0.25">
      <c r="A13" s="9" t="str">
        <f t="shared" si="0"/>
        <v>OEJV 0160 </v>
      </c>
      <c r="B13" s="2" t="str">
        <f t="shared" si="1"/>
        <v>I</v>
      </c>
      <c r="C13" s="9">
        <f t="shared" si="2"/>
        <v>55688.400979999999</v>
      </c>
      <c r="D13" s="11" t="str">
        <f t="shared" si="3"/>
        <v>vis</v>
      </c>
      <c r="E13" s="44">
        <f>VLOOKUP(C13,Active!C$21:E$973,3,FALSE)</f>
        <v>12887.619819973865</v>
      </c>
      <c r="F13" s="2" t="s">
        <v>60</v>
      </c>
      <c r="G13" s="11" t="str">
        <f t="shared" si="4"/>
        <v>55688.40098</v>
      </c>
      <c r="H13" s="9">
        <f t="shared" si="5"/>
        <v>3894</v>
      </c>
      <c r="I13" s="45" t="s">
        <v>105</v>
      </c>
      <c r="J13" s="46" t="s">
        <v>106</v>
      </c>
      <c r="K13" s="45">
        <v>3894</v>
      </c>
      <c r="L13" s="45" t="s">
        <v>107</v>
      </c>
      <c r="M13" s="46" t="s">
        <v>65</v>
      </c>
      <c r="N13" s="46" t="s">
        <v>71</v>
      </c>
      <c r="O13" s="47" t="s">
        <v>66</v>
      </c>
      <c r="P13" s="48" t="s">
        <v>108</v>
      </c>
    </row>
    <row r="14" spans="1:16" ht="12.75" customHeight="1" thickBot="1" x14ac:dyDescent="0.25">
      <c r="A14" s="9" t="str">
        <f t="shared" si="0"/>
        <v>OEJV 0160 </v>
      </c>
      <c r="B14" s="2" t="str">
        <f t="shared" si="1"/>
        <v>I</v>
      </c>
      <c r="C14" s="9">
        <f t="shared" si="2"/>
        <v>55688.402020000001</v>
      </c>
      <c r="D14" s="11" t="str">
        <f t="shared" si="3"/>
        <v>vis</v>
      </c>
      <c r="E14" s="44">
        <f>VLOOKUP(C14,Active!C$21:E$973,3,FALSE)</f>
        <v>12887.621090171848</v>
      </c>
      <c r="F14" s="2" t="s">
        <v>60</v>
      </c>
      <c r="G14" s="11" t="str">
        <f t="shared" si="4"/>
        <v>55688.40202</v>
      </c>
      <c r="H14" s="9">
        <f t="shared" si="5"/>
        <v>3894</v>
      </c>
      <c r="I14" s="45" t="s">
        <v>109</v>
      </c>
      <c r="J14" s="46" t="s">
        <v>110</v>
      </c>
      <c r="K14" s="45">
        <v>3894</v>
      </c>
      <c r="L14" s="45" t="s">
        <v>111</v>
      </c>
      <c r="M14" s="46" t="s">
        <v>65</v>
      </c>
      <c r="N14" s="46" t="s">
        <v>60</v>
      </c>
      <c r="O14" s="47" t="s">
        <v>66</v>
      </c>
      <c r="P14" s="48" t="s">
        <v>108</v>
      </c>
    </row>
    <row r="15" spans="1:16" ht="12.75" customHeight="1" thickBot="1" x14ac:dyDescent="0.25">
      <c r="A15" s="9" t="str">
        <f t="shared" si="0"/>
        <v>OEJV 0160 </v>
      </c>
      <c r="B15" s="2" t="str">
        <f t="shared" si="1"/>
        <v>I</v>
      </c>
      <c r="C15" s="9">
        <f t="shared" si="2"/>
        <v>56397.455170000001</v>
      </c>
      <c r="D15" s="11" t="str">
        <f t="shared" si="3"/>
        <v>vis</v>
      </c>
      <c r="E15" s="44">
        <f>VLOOKUP(C15,Active!C$21:E$973,3,FALSE)</f>
        <v>13753.619050527015</v>
      </c>
      <c r="F15" s="2" t="s">
        <v>60</v>
      </c>
      <c r="G15" s="11" t="str">
        <f t="shared" si="4"/>
        <v>56397.45517</v>
      </c>
      <c r="H15" s="9">
        <f t="shared" si="5"/>
        <v>4760</v>
      </c>
      <c r="I15" s="45" t="s">
        <v>112</v>
      </c>
      <c r="J15" s="46" t="s">
        <v>113</v>
      </c>
      <c r="K15" s="45">
        <v>4760</v>
      </c>
      <c r="L15" s="45" t="s">
        <v>114</v>
      </c>
      <c r="M15" s="46" t="s">
        <v>65</v>
      </c>
      <c r="N15" s="46" t="s">
        <v>71</v>
      </c>
      <c r="O15" s="47" t="s">
        <v>66</v>
      </c>
      <c r="P15" s="48" t="s">
        <v>108</v>
      </c>
    </row>
    <row r="16" spans="1:16" ht="12.75" customHeight="1" thickBot="1" x14ac:dyDescent="0.25">
      <c r="A16" s="9" t="str">
        <f t="shared" si="0"/>
        <v>OEJV 0160 </v>
      </c>
      <c r="B16" s="2" t="str">
        <f t="shared" si="1"/>
        <v>I</v>
      </c>
      <c r="C16" s="9">
        <f t="shared" si="2"/>
        <v>56397.455800000003</v>
      </c>
      <c r="D16" s="11" t="str">
        <f t="shared" si="3"/>
        <v>vis</v>
      </c>
      <c r="E16" s="44">
        <f>VLOOKUP(C16,Active!C$21:E$973,3,FALSE)</f>
        <v>13753.619819973872</v>
      </c>
      <c r="F16" s="2" t="s">
        <v>60</v>
      </c>
      <c r="G16" s="11" t="str">
        <f t="shared" si="4"/>
        <v>56397.4558</v>
      </c>
      <c r="H16" s="9">
        <f t="shared" si="5"/>
        <v>4760</v>
      </c>
      <c r="I16" s="45" t="s">
        <v>115</v>
      </c>
      <c r="J16" s="46" t="s">
        <v>116</v>
      </c>
      <c r="K16" s="45">
        <v>4760</v>
      </c>
      <c r="L16" s="45" t="s">
        <v>117</v>
      </c>
      <c r="M16" s="46" t="s">
        <v>65</v>
      </c>
      <c r="N16" s="46" t="s">
        <v>60</v>
      </c>
      <c r="O16" s="47" t="s">
        <v>66</v>
      </c>
      <c r="P16" s="48" t="s">
        <v>108</v>
      </c>
    </row>
    <row r="17" spans="1:16" ht="12.75" customHeight="1" thickBot="1" x14ac:dyDescent="0.25">
      <c r="A17" s="9" t="str">
        <f t="shared" si="0"/>
        <v>BAVM 238 </v>
      </c>
      <c r="B17" s="2" t="str">
        <f t="shared" si="1"/>
        <v>II</v>
      </c>
      <c r="C17" s="9">
        <f t="shared" si="2"/>
        <v>56783.510300000002</v>
      </c>
      <c r="D17" s="11" t="str">
        <f t="shared" si="3"/>
        <v>vis</v>
      </c>
      <c r="E17" s="44">
        <f>VLOOKUP(C17,Active!C$21:E$973,3,FALSE)</f>
        <v>14225.12524884889</v>
      </c>
      <c r="F17" s="2" t="s">
        <v>60</v>
      </c>
      <c r="G17" s="11" t="str">
        <f t="shared" si="4"/>
        <v>56783.5103</v>
      </c>
      <c r="H17" s="9">
        <f t="shared" si="5"/>
        <v>5231.5</v>
      </c>
      <c r="I17" s="45" t="s">
        <v>118</v>
      </c>
      <c r="J17" s="46" t="s">
        <v>119</v>
      </c>
      <c r="K17" s="45">
        <v>5231.5</v>
      </c>
      <c r="L17" s="45" t="s">
        <v>120</v>
      </c>
      <c r="M17" s="46" t="s">
        <v>65</v>
      </c>
      <c r="N17" s="46" t="s">
        <v>84</v>
      </c>
      <c r="O17" s="47" t="s">
        <v>85</v>
      </c>
      <c r="P17" s="48" t="s">
        <v>121</v>
      </c>
    </row>
    <row r="18" spans="1:16" ht="12.75" customHeight="1" thickBot="1" x14ac:dyDescent="0.25">
      <c r="A18" s="9" t="str">
        <f t="shared" si="0"/>
        <v>OEJV 0094 </v>
      </c>
      <c r="B18" s="2" t="str">
        <f t="shared" si="1"/>
        <v>I</v>
      </c>
      <c r="C18" s="9">
        <f t="shared" si="2"/>
        <v>54535.572</v>
      </c>
      <c r="D18" s="11" t="str">
        <f t="shared" si="3"/>
        <v>vis</v>
      </c>
      <c r="E18" s="44">
        <f>VLOOKUP(C18,Active!C$21:E$973,3,FALSE)</f>
        <v>11479.618818471614</v>
      </c>
      <c r="F18" s="2" t="s">
        <v>60</v>
      </c>
      <c r="G18" s="11" t="str">
        <f t="shared" si="4"/>
        <v>54535.5720</v>
      </c>
      <c r="H18" s="9">
        <f t="shared" si="5"/>
        <v>2486</v>
      </c>
      <c r="I18" s="45" t="s">
        <v>62</v>
      </c>
      <c r="J18" s="46" t="s">
        <v>63</v>
      </c>
      <c r="K18" s="45">
        <v>2486</v>
      </c>
      <c r="L18" s="45" t="s">
        <v>64</v>
      </c>
      <c r="M18" s="46" t="s">
        <v>65</v>
      </c>
      <c r="N18" s="46" t="s">
        <v>38</v>
      </c>
      <c r="O18" s="47" t="s">
        <v>66</v>
      </c>
      <c r="P18" s="48" t="s">
        <v>67</v>
      </c>
    </row>
    <row r="19" spans="1:16" ht="12.75" customHeight="1" thickBot="1" x14ac:dyDescent="0.25">
      <c r="A19" s="9" t="str">
        <f t="shared" si="0"/>
        <v>OEJV 0094 </v>
      </c>
      <c r="B19" s="2" t="str">
        <f t="shared" si="1"/>
        <v>I</v>
      </c>
      <c r="C19" s="9">
        <f t="shared" si="2"/>
        <v>54535.573100000001</v>
      </c>
      <c r="D19" s="11" t="str">
        <f t="shared" si="3"/>
        <v>vis</v>
      </c>
      <c r="E19" s="44">
        <f>VLOOKUP(C19,Active!C$21:E$973,3,FALSE)</f>
        <v>11479.620161950248</v>
      </c>
      <c r="F19" s="2" t="s">
        <v>60</v>
      </c>
      <c r="G19" s="11" t="str">
        <f t="shared" si="4"/>
        <v>54535.5731</v>
      </c>
      <c r="H19" s="9">
        <f t="shared" si="5"/>
        <v>2486</v>
      </c>
      <c r="I19" s="45" t="s">
        <v>68</v>
      </c>
      <c r="J19" s="46" t="s">
        <v>69</v>
      </c>
      <c r="K19" s="45">
        <v>2486</v>
      </c>
      <c r="L19" s="45" t="s">
        <v>70</v>
      </c>
      <c r="M19" s="46" t="s">
        <v>65</v>
      </c>
      <c r="N19" s="46" t="s">
        <v>71</v>
      </c>
      <c r="O19" s="47" t="s">
        <v>66</v>
      </c>
      <c r="P19" s="48" t="s">
        <v>67</v>
      </c>
    </row>
    <row r="20" spans="1:16" ht="12.75" customHeight="1" thickBot="1" x14ac:dyDescent="0.25">
      <c r="A20" s="9" t="str">
        <f t="shared" si="0"/>
        <v>OEJV 0094 </v>
      </c>
      <c r="B20" s="2" t="str">
        <f t="shared" si="1"/>
        <v>I</v>
      </c>
      <c r="C20" s="9">
        <f t="shared" si="2"/>
        <v>54599.437899999997</v>
      </c>
      <c r="D20" s="11" t="str">
        <f t="shared" si="3"/>
        <v>vis</v>
      </c>
      <c r="E20" s="44" t="e">
        <f>VLOOKUP(C20,Active!C$21:E$973,3,FALSE)</f>
        <v>#N/A</v>
      </c>
      <c r="F20" s="2" t="s">
        <v>60</v>
      </c>
      <c r="G20" s="11" t="str">
        <f t="shared" si="4"/>
        <v>54599.4379</v>
      </c>
      <c r="H20" s="9">
        <f t="shared" si="5"/>
        <v>2564</v>
      </c>
      <c r="I20" s="45" t="s">
        <v>72</v>
      </c>
      <c r="J20" s="46" t="s">
        <v>73</v>
      </c>
      <c r="K20" s="45">
        <v>2564</v>
      </c>
      <c r="L20" s="45" t="s">
        <v>74</v>
      </c>
      <c r="M20" s="46" t="s">
        <v>65</v>
      </c>
      <c r="N20" s="46" t="s">
        <v>60</v>
      </c>
      <c r="O20" s="47" t="s">
        <v>66</v>
      </c>
      <c r="P20" s="48" t="s">
        <v>67</v>
      </c>
    </row>
    <row r="21" spans="1:16" ht="12.75" customHeight="1" thickBot="1" x14ac:dyDescent="0.25">
      <c r="A21" s="9" t="str">
        <f t="shared" si="0"/>
        <v>OEJV 0094 </v>
      </c>
      <c r="B21" s="2" t="str">
        <f t="shared" si="1"/>
        <v>I</v>
      </c>
      <c r="C21" s="9">
        <f t="shared" si="2"/>
        <v>54599.438300000002</v>
      </c>
      <c r="D21" s="11" t="str">
        <f t="shared" si="3"/>
        <v>vis</v>
      </c>
      <c r="E21" s="44" t="e">
        <f>VLOOKUP(C21,Active!C$21:E$973,3,FALSE)</f>
        <v>#N/A</v>
      </c>
      <c r="F21" s="2" t="s">
        <v>60</v>
      </c>
      <c r="G21" s="11" t="str">
        <f t="shared" si="4"/>
        <v>54599.4383</v>
      </c>
      <c r="H21" s="9">
        <f t="shared" si="5"/>
        <v>2564</v>
      </c>
      <c r="I21" s="45" t="s">
        <v>75</v>
      </c>
      <c r="J21" s="46" t="s">
        <v>76</v>
      </c>
      <c r="K21" s="45">
        <v>2564</v>
      </c>
      <c r="L21" s="45" t="s">
        <v>77</v>
      </c>
      <c r="M21" s="46" t="s">
        <v>65</v>
      </c>
      <c r="N21" s="46" t="s">
        <v>38</v>
      </c>
      <c r="O21" s="47" t="s">
        <v>66</v>
      </c>
      <c r="P21" s="48" t="s">
        <v>67</v>
      </c>
    </row>
    <row r="22" spans="1:16" ht="12.75" customHeight="1" thickBot="1" x14ac:dyDescent="0.25">
      <c r="A22" s="9" t="str">
        <f t="shared" si="0"/>
        <v>OEJV 0094 </v>
      </c>
      <c r="B22" s="2" t="str">
        <f t="shared" si="1"/>
        <v>I</v>
      </c>
      <c r="C22" s="9">
        <f t="shared" si="2"/>
        <v>54599.439200000001</v>
      </c>
      <c r="D22" s="11" t="str">
        <f t="shared" si="3"/>
        <v>vis</v>
      </c>
      <c r="E22" s="44" t="e">
        <f>VLOOKUP(C22,Active!C$21:E$973,3,FALSE)</f>
        <v>#N/A</v>
      </c>
      <c r="F22" s="2" t="s">
        <v>60</v>
      </c>
      <c r="G22" s="11" t="str">
        <f t="shared" si="4"/>
        <v>54599.4392</v>
      </c>
      <c r="H22" s="9">
        <f t="shared" si="5"/>
        <v>2564</v>
      </c>
      <c r="I22" s="45" t="s">
        <v>78</v>
      </c>
      <c r="J22" s="46" t="s">
        <v>79</v>
      </c>
      <c r="K22" s="45">
        <v>2564</v>
      </c>
      <c r="L22" s="45" t="s">
        <v>80</v>
      </c>
      <c r="M22" s="46" t="s">
        <v>65</v>
      </c>
      <c r="N22" s="46" t="s">
        <v>71</v>
      </c>
      <c r="O22" s="47" t="s">
        <v>66</v>
      </c>
      <c r="P22" s="48" t="s">
        <v>67</v>
      </c>
    </row>
    <row r="23" spans="1:16" ht="12.75" customHeight="1" thickBot="1" x14ac:dyDescent="0.25">
      <c r="A23" s="9" t="str">
        <f t="shared" si="0"/>
        <v>OEJV 0107 </v>
      </c>
      <c r="B23" s="2" t="str">
        <f t="shared" si="1"/>
        <v>I</v>
      </c>
      <c r="C23" s="9">
        <f t="shared" si="2"/>
        <v>54938.410400000001</v>
      </c>
      <c r="D23" s="11" t="str">
        <f t="shared" si="3"/>
        <v>vis</v>
      </c>
      <c r="E23" s="44" t="e">
        <f>VLOOKUP(C23,Active!C$21:E$973,3,FALSE)</f>
        <v>#N/A</v>
      </c>
      <c r="F23" s="2" t="s">
        <v>60</v>
      </c>
      <c r="G23" s="11" t="str">
        <f t="shared" si="4"/>
        <v>54938.4104</v>
      </c>
      <c r="H23" s="9">
        <f t="shared" si="5"/>
        <v>2978</v>
      </c>
      <c r="I23" s="45" t="s">
        <v>87</v>
      </c>
      <c r="J23" s="46" t="s">
        <v>88</v>
      </c>
      <c r="K23" s="45">
        <v>2978</v>
      </c>
      <c r="L23" s="45" t="s">
        <v>89</v>
      </c>
      <c r="M23" s="46" t="s">
        <v>65</v>
      </c>
      <c r="N23" s="46" t="s">
        <v>71</v>
      </c>
      <c r="O23" s="47" t="s">
        <v>66</v>
      </c>
      <c r="P23" s="48" t="s">
        <v>90</v>
      </c>
    </row>
    <row r="24" spans="1:16" ht="12.75" customHeight="1" thickBot="1" x14ac:dyDescent="0.25">
      <c r="A24" s="9" t="str">
        <f t="shared" si="0"/>
        <v>OEJV 0107 </v>
      </c>
      <c r="B24" s="2" t="str">
        <f t="shared" si="1"/>
        <v>I</v>
      </c>
      <c r="C24" s="9">
        <f t="shared" si="2"/>
        <v>54938.411399999997</v>
      </c>
      <c r="D24" s="11" t="str">
        <f t="shared" si="3"/>
        <v>vis</v>
      </c>
      <c r="E24" s="44" t="e">
        <f>VLOOKUP(C24,Active!C$21:E$973,3,FALSE)</f>
        <v>#N/A</v>
      </c>
      <c r="F24" s="2" t="s">
        <v>60</v>
      </c>
      <c r="G24" s="11" t="str">
        <f t="shared" si="4"/>
        <v>54938.4114</v>
      </c>
      <c r="H24" s="9">
        <f t="shared" si="5"/>
        <v>2978</v>
      </c>
      <c r="I24" s="45" t="s">
        <v>91</v>
      </c>
      <c r="J24" s="46" t="s">
        <v>92</v>
      </c>
      <c r="K24" s="45">
        <v>2978</v>
      </c>
      <c r="L24" s="45" t="s">
        <v>93</v>
      </c>
      <c r="M24" s="46" t="s">
        <v>65</v>
      </c>
      <c r="N24" s="46" t="s">
        <v>38</v>
      </c>
      <c r="O24" s="47" t="s">
        <v>66</v>
      </c>
      <c r="P24" s="48" t="s">
        <v>90</v>
      </c>
    </row>
    <row r="25" spans="1:16" ht="12.75" customHeight="1" thickBot="1" x14ac:dyDescent="0.25">
      <c r="A25" s="9" t="str">
        <f t="shared" si="0"/>
        <v>OEJV 0107 </v>
      </c>
      <c r="B25" s="2" t="str">
        <f t="shared" si="1"/>
        <v>I</v>
      </c>
      <c r="C25" s="9">
        <f t="shared" si="2"/>
        <v>54938.411800000002</v>
      </c>
      <c r="D25" s="11" t="str">
        <f t="shared" si="3"/>
        <v>vis</v>
      </c>
      <c r="E25" s="44" t="e">
        <f>VLOOKUP(C25,Active!C$21:E$973,3,FALSE)</f>
        <v>#N/A</v>
      </c>
      <c r="F25" s="2" t="s">
        <v>60</v>
      </c>
      <c r="G25" s="11" t="str">
        <f t="shared" si="4"/>
        <v>54938.4118</v>
      </c>
      <c r="H25" s="9">
        <f t="shared" si="5"/>
        <v>2978</v>
      </c>
      <c r="I25" s="45" t="s">
        <v>94</v>
      </c>
      <c r="J25" s="46" t="s">
        <v>92</v>
      </c>
      <c r="K25" s="45">
        <v>2978</v>
      </c>
      <c r="L25" s="45" t="s">
        <v>95</v>
      </c>
      <c r="M25" s="46" t="s">
        <v>65</v>
      </c>
      <c r="N25" s="46" t="s">
        <v>60</v>
      </c>
      <c r="O25" s="47" t="s">
        <v>66</v>
      </c>
      <c r="P25" s="48" t="s">
        <v>90</v>
      </c>
    </row>
    <row r="26" spans="1:16" ht="12.75" customHeight="1" thickBot="1" x14ac:dyDescent="0.25">
      <c r="A26" s="9" t="str">
        <f t="shared" si="0"/>
        <v>OEJV 0137 </v>
      </c>
      <c r="B26" s="2" t="str">
        <f t="shared" si="1"/>
        <v>I</v>
      </c>
      <c r="C26" s="9">
        <f t="shared" si="2"/>
        <v>55263.459300000002</v>
      </c>
      <c r="D26" s="11" t="str">
        <f t="shared" si="3"/>
        <v>vis</v>
      </c>
      <c r="E26" s="44" t="e">
        <f>VLOOKUP(C26,Active!C$21:E$973,3,FALSE)</f>
        <v>#N/A</v>
      </c>
      <c r="F26" s="2" t="s">
        <v>60</v>
      </c>
      <c r="G26" s="11" t="str">
        <f t="shared" si="4"/>
        <v>55263.4593</v>
      </c>
      <c r="H26" s="9">
        <f t="shared" si="5"/>
        <v>3375</v>
      </c>
      <c r="I26" s="45" t="s">
        <v>96</v>
      </c>
      <c r="J26" s="46" t="s">
        <v>97</v>
      </c>
      <c r="K26" s="45">
        <v>3375</v>
      </c>
      <c r="L26" s="45" t="s">
        <v>98</v>
      </c>
      <c r="M26" s="46" t="s">
        <v>65</v>
      </c>
      <c r="N26" s="46" t="s">
        <v>71</v>
      </c>
      <c r="O26" s="47" t="s">
        <v>66</v>
      </c>
      <c r="P26" s="48" t="s">
        <v>99</v>
      </c>
    </row>
    <row r="27" spans="1:16" ht="12.75" customHeight="1" thickBot="1" x14ac:dyDescent="0.25">
      <c r="A27" s="9" t="str">
        <f t="shared" si="0"/>
        <v>OEJV 0137 </v>
      </c>
      <c r="B27" s="2" t="str">
        <f t="shared" si="1"/>
        <v>I</v>
      </c>
      <c r="C27" s="9">
        <f t="shared" si="2"/>
        <v>55263.459499999997</v>
      </c>
      <c r="D27" s="11" t="str">
        <f t="shared" si="3"/>
        <v>vis</v>
      </c>
      <c r="E27" s="44" t="e">
        <f>VLOOKUP(C27,Active!C$21:E$973,3,FALSE)</f>
        <v>#N/A</v>
      </c>
      <c r="F27" s="2" t="s">
        <v>60</v>
      </c>
      <c r="G27" s="11" t="str">
        <f t="shared" si="4"/>
        <v>55263.4595</v>
      </c>
      <c r="H27" s="9">
        <f t="shared" si="5"/>
        <v>3375</v>
      </c>
      <c r="I27" s="45" t="s">
        <v>100</v>
      </c>
      <c r="J27" s="46" t="s">
        <v>97</v>
      </c>
      <c r="K27" s="45">
        <v>3375</v>
      </c>
      <c r="L27" s="45" t="s">
        <v>101</v>
      </c>
      <c r="M27" s="46" t="s">
        <v>65</v>
      </c>
      <c r="N27" s="46" t="s">
        <v>38</v>
      </c>
      <c r="O27" s="47" t="s">
        <v>66</v>
      </c>
      <c r="P27" s="48" t="s">
        <v>99</v>
      </c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</sheetData>
  <phoneticPr fontId="7" type="noConversion"/>
  <hyperlinks>
    <hyperlink ref="A3" r:id="rId1" xr:uid="{00000000-0004-0000-0100-000000000000}"/>
    <hyperlink ref="P18" r:id="rId2" display="http://var.astro.cz/oejv/issues/oejv0094.pdf" xr:uid="{00000000-0004-0000-0100-000001000000}"/>
    <hyperlink ref="P19" r:id="rId3" display="http://var.astro.cz/oejv/issues/oejv0094.pdf" xr:uid="{00000000-0004-0000-0100-000002000000}"/>
    <hyperlink ref="P20" r:id="rId4" display="http://var.astro.cz/oejv/issues/oejv0094.pdf" xr:uid="{00000000-0004-0000-0100-000003000000}"/>
    <hyperlink ref="P21" r:id="rId5" display="http://var.astro.cz/oejv/issues/oejv0094.pdf" xr:uid="{00000000-0004-0000-0100-000004000000}"/>
    <hyperlink ref="P22" r:id="rId6" display="http://var.astro.cz/oejv/issues/oejv0094.pdf" xr:uid="{00000000-0004-0000-0100-000005000000}"/>
    <hyperlink ref="P11" r:id="rId7" display="http://www.bav-astro.de/sfs/BAVM_link.php?BAVMnr=209" xr:uid="{00000000-0004-0000-0100-000006000000}"/>
    <hyperlink ref="P23" r:id="rId8" display="http://var.astro.cz/oejv/issues/oejv0107.pdf" xr:uid="{00000000-0004-0000-0100-000007000000}"/>
    <hyperlink ref="P24" r:id="rId9" display="http://var.astro.cz/oejv/issues/oejv0107.pdf" xr:uid="{00000000-0004-0000-0100-000008000000}"/>
    <hyperlink ref="P25" r:id="rId10" display="http://var.astro.cz/oejv/issues/oejv0107.pdf" xr:uid="{00000000-0004-0000-0100-000009000000}"/>
    <hyperlink ref="P26" r:id="rId11" display="http://var.astro.cz/oejv/issues/oejv0137.pdf" xr:uid="{00000000-0004-0000-0100-00000A000000}"/>
    <hyperlink ref="P27" r:id="rId12" display="http://var.astro.cz/oejv/issues/oejv0137.pdf" xr:uid="{00000000-0004-0000-0100-00000B000000}"/>
    <hyperlink ref="P12" r:id="rId13" display="http://www.bav-astro.de/sfs/BAVM_link.php?BAVMnr=214" xr:uid="{00000000-0004-0000-0100-00000C000000}"/>
    <hyperlink ref="P13" r:id="rId14" display="http://var.astro.cz/oejv/issues/oejv0160.pdf" xr:uid="{00000000-0004-0000-0100-00000D000000}"/>
    <hyperlink ref="P14" r:id="rId15" display="http://var.astro.cz/oejv/issues/oejv0160.pdf" xr:uid="{00000000-0004-0000-0100-00000E000000}"/>
    <hyperlink ref="P15" r:id="rId16" display="http://var.astro.cz/oejv/issues/oejv0160.pdf" xr:uid="{00000000-0004-0000-0100-00000F000000}"/>
    <hyperlink ref="P16" r:id="rId17" display="http://var.astro.cz/oejv/issues/oejv0160.pdf" xr:uid="{00000000-0004-0000-0100-000010000000}"/>
    <hyperlink ref="P17" r:id="rId18" display="http://www.bav-astro.de/sfs/BAVM_link.php?BAVMnr=238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2023-01-26T05:42:59Z</dcterms:modified>
</cp:coreProperties>
</file>