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491640A-B581-4894-9B90-C5812C3E3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49" i="1"/>
  <c r="F49" i="1"/>
  <c r="Q47" i="1"/>
  <c r="Q48" i="1"/>
  <c r="Q49" i="1"/>
  <c r="Q42" i="1"/>
  <c r="Q44" i="1"/>
  <c r="Q45" i="1"/>
  <c r="Q46" i="1"/>
  <c r="Q43" i="1"/>
  <c r="Q40" i="1"/>
  <c r="Q41" i="1"/>
  <c r="Q39" i="1"/>
  <c r="C9" i="1"/>
  <c r="Q31" i="1"/>
  <c r="Q32" i="1"/>
  <c r="Q33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24" i="2"/>
  <c r="C24" i="2"/>
  <c r="E24" i="2"/>
  <c r="G23" i="2"/>
  <c r="C23" i="2"/>
  <c r="E23" i="2"/>
  <c r="G22" i="2"/>
  <c r="C22" i="2"/>
  <c r="E22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4" i="2"/>
  <c r="B24" i="2"/>
  <c r="D24" i="2"/>
  <c r="A24" i="2"/>
  <c r="H23" i="2"/>
  <c r="B23" i="2"/>
  <c r="D23" i="2"/>
  <c r="A23" i="2"/>
  <c r="H22" i="2"/>
  <c r="B22" i="2"/>
  <c r="D22" i="2"/>
  <c r="A22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8" i="1"/>
  <c r="Q28" i="1"/>
  <c r="Q29" i="1"/>
  <c r="Q30" i="1"/>
  <c r="Q35" i="1"/>
  <c r="Q37" i="1"/>
  <c r="F16" i="1"/>
  <c r="F17" i="1" s="1"/>
  <c r="D9" i="1"/>
  <c r="Q34" i="1"/>
  <c r="Q36" i="1"/>
  <c r="Q23" i="1"/>
  <c r="Q24" i="1"/>
  <c r="Q25" i="1"/>
  <c r="Q27" i="1"/>
  <c r="C7" i="1"/>
  <c r="E47" i="1"/>
  <c r="F47" i="1"/>
  <c r="E41" i="1"/>
  <c r="F41" i="1"/>
  <c r="G41" i="1"/>
  <c r="K41" i="1"/>
  <c r="C8" i="1"/>
  <c r="E30" i="1"/>
  <c r="F30" i="1"/>
  <c r="G30" i="1"/>
  <c r="K30" i="1"/>
  <c r="C17" i="1"/>
  <c r="Q26" i="1"/>
  <c r="Q21" i="1"/>
  <c r="Q22" i="1"/>
  <c r="E34" i="1"/>
  <c r="F34" i="1"/>
  <c r="G34" i="1"/>
  <c r="K34" i="1"/>
  <c r="E31" i="1"/>
  <c r="F31" i="1"/>
  <c r="G31" i="1"/>
  <c r="K31" i="1"/>
  <c r="E37" i="1"/>
  <c r="F37" i="1"/>
  <c r="G37" i="1"/>
  <c r="J37" i="1"/>
  <c r="E25" i="1"/>
  <c r="F25" i="1"/>
  <c r="E22" i="1"/>
  <c r="F22" i="1"/>
  <c r="G22" i="1"/>
  <c r="K22" i="1"/>
  <c r="E40" i="1"/>
  <c r="F40" i="1"/>
  <c r="G40" i="1"/>
  <c r="K40" i="1"/>
  <c r="E43" i="1"/>
  <c r="F43" i="1"/>
  <c r="E35" i="1"/>
  <c r="F35" i="1"/>
  <c r="G35" i="1"/>
  <c r="K35" i="1"/>
  <c r="E29" i="1"/>
  <c r="F29" i="1"/>
  <c r="G29" i="1"/>
  <c r="K29" i="1"/>
  <c r="E36" i="1"/>
  <c r="E23" i="1"/>
  <c r="F23" i="1"/>
  <c r="G23" i="1"/>
  <c r="J23" i="1"/>
  <c r="E33" i="1"/>
  <c r="F33" i="1"/>
  <c r="G33" i="1"/>
  <c r="K33" i="1"/>
  <c r="E24" i="1"/>
  <c r="F24" i="1"/>
  <c r="E28" i="1"/>
  <c r="G25" i="1"/>
  <c r="J25" i="1"/>
  <c r="E26" i="1"/>
  <c r="F26" i="1"/>
  <c r="G26" i="1"/>
  <c r="K26" i="1"/>
  <c r="E32" i="1"/>
  <c r="E39" i="1"/>
  <c r="F39" i="1"/>
  <c r="G39" i="1"/>
  <c r="K39" i="1"/>
  <c r="G43" i="1"/>
  <c r="K43" i="1"/>
  <c r="E38" i="1"/>
  <c r="F38" i="1"/>
  <c r="G38" i="1"/>
  <c r="J38" i="1"/>
  <c r="E27" i="1"/>
  <c r="F27" i="1"/>
  <c r="G27" i="1"/>
  <c r="K27" i="1"/>
  <c r="E21" i="1"/>
  <c r="F21" i="1"/>
  <c r="G21" i="1"/>
  <c r="I21" i="1"/>
  <c r="F32" i="1"/>
  <c r="G32" i="1"/>
  <c r="K32" i="1"/>
  <c r="F36" i="1"/>
  <c r="G36" i="1"/>
  <c r="K36" i="1"/>
  <c r="F28" i="1"/>
  <c r="G28" i="1"/>
  <c r="K28" i="1"/>
  <c r="E16" i="2"/>
  <c r="E45" i="1"/>
  <c r="F45" i="1"/>
  <c r="G45" i="1"/>
  <c r="K45" i="1"/>
  <c r="E42" i="1"/>
  <c r="F42" i="1"/>
  <c r="G42" i="1"/>
  <c r="E48" i="1"/>
  <c r="F48" i="1"/>
  <c r="G48" i="1"/>
  <c r="K48" i="1"/>
  <c r="E46" i="1"/>
  <c r="F46" i="1"/>
  <c r="G46" i="1"/>
  <c r="K46" i="1"/>
  <c r="G44" i="1"/>
  <c r="K44" i="1"/>
  <c r="G47" i="1"/>
  <c r="I47" i="1"/>
  <c r="E44" i="1"/>
  <c r="F44" i="1"/>
  <c r="G49" i="1"/>
  <c r="K49" i="1"/>
  <c r="K42" i="1"/>
  <c r="C12" i="1"/>
  <c r="C11" i="1"/>
  <c r="O50" i="1" l="1"/>
  <c r="C16" i="1"/>
  <c r="D18" i="1" s="1"/>
  <c r="O40" i="1"/>
  <c r="O31" i="1"/>
  <c r="O46" i="1"/>
  <c r="O37" i="1"/>
  <c r="O43" i="1"/>
  <c r="O49" i="1"/>
  <c r="O36" i="1"/>
  <c r="O34" i="1"/>
  <c r="O29" i="1"/>
  <c r="O28" i="1"/>
  <c r="O23" i="1"/>
  <c r="O42" i="1"/>
  <c r="O32" i="1"/>
  <c r="O41" i="1"/>
  <c r="O25" i="1"/>
  <c r="O26" i="1"/>
  <c r="O21" i="1"/>
  <c r="O33" i="1"/>
  <c r="O35" i="1"/>
  <c r="O22" i="1"/>
  <c r="O24" i="1"/>
  <c r="O30" i="1"/>
  <c r="O38" i="1"/>
  <c r="O27" i="1"/>
  <c r="O47" i="1"/>
  <c r="C15" i="1"/>
  <c r="O45" i="1"/>
  <c r="O39" i="1"/>
  <c r="O44" i="1"/>
  <c r="O48" i="1"/>
  <c r="F18" i="1" l="1"/>
  <c r="F19" i="1" s="1"/>
  <c r="C18" i="1"/>
</calcChain>
</file>

<file path=xl/sharedStrings.xml><?xml version="1.0" encoding="utf-8"?>
<sst xmlns="http://schemas.openxmlformats.org/spreadsheetml/2006/main" count="234" uniqueCount="130">
  <si>
    <t>IBVS 6244</t>
  </si>
  <si>
    <t>OEJV 0191</t>
  </si>
  <si>
    <t>BAD?</t>
  </si>
  <si>
    <t>0.0034</t>
  </si>
  <si>
    <t>0.0028</t>
  </si>
  <si>
    <t>IBVS 6196</t>
  </si>
  <si>
    <t>0.0031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</si>
  <si>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</si>
  <si>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</si>
  <si>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</si>
  <si>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</si>
  <si>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</si>
  <si>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</si>
  <si>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</si>
  <si>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</si>
  <si>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</si>
  <si>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</si>
  <si>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</si>
  <si>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</si>
  <si>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</si>
  <si>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</si>
  <si>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</si>
  <si>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</si>
  <si>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</si>
  <si>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</si>
  <si>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</si>
  <si>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</si>
  <si>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</si>
  <si>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</si>
  <si>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</si>
  <si>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</si>
  <si>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</si>
  <si>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</si>
  <si>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</si>
  <si>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</si>
  <si>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</si>
  <si>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GW Boo / GSC 1473-1049</t>
  </si>
  <si>
    <t>BD+20 2890</t>
  </si>
  <si>
    <t>IBVS 5532</t>
  </si>
  <si>
    <t xml:space="preserve">EW      </t>
  </si>
  <si>
    <t>IBVS 5945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</si>
  <si>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</si>
  <si>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</si>
  <si>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</si>
  <si>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</si>
  <si>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</si>
  <si>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</si>
  <si>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</si>
  <si>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5959</t>
  </si>
  <si>
    <t>I</t>
  </si>
  <si>
    <t>IBVS 5992</t>
  </si>
  <si>
    <t>IBVS 6029</t>
  </si>
  <si>
    <t>Add cycle</t>
  </si>
  <si>
    <t>Old Cycle</t>
  </si>
  <si>
    <t>OEJV 0160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</si>
  <si>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</si>
  <si>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</si>
  <si>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</si>
  <si>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</si>
  <si>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</si>
  <si>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</si>
  <si>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</si>
  <si>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</si>
  <si>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</si>
  <si>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</si>
  <si>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</si>
  <si>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</si>
  <si>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</si>
  <si>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2455294.3962 </t>
  </si>
  <si>
    <t> 07.04.2010 21:30 </t>
  </si>
  <si>
    <t> 0.1044 </t>
  </si>
  <si>
    <t>C </t>
  </si>
  <si>
    <t> F.Agerer </t>
  </si>
  <si>
    <t>BAVM 214 </t>
  </si>
  <si>
    <t>2455352.864 </t>
  </si>
  <si>
    <t> 05.06.2010 08:44 </t>
  </si>
  <si>
    <t> 0.098 </t>
  </si>
  <si>
    <t> R.Diethelm </t>
  </si>
  <si>
    <t>IBVS 5945 </t>
  </si>
  <si>
    <t>2455631.9288 </t>
  </si>
  <si>
    <t> 11.03.2011 10:17 </t>
  </si>
  <si>
    <t> 0.0837 </t>
  </si>
  <si>
    <t>IBVS 5992 </t>
  </si>
  <si>
    <t>2455687.47427 </t>
  </si>
  <si>
    <t> 05.05.2011 23:22 </t>
  </si>
  <si>
    <t> 0.07903 </t>
  </si>
  <si>
    <t>R</t>
  </si>
  <si>
    <t> H.Ku?akova </t>
  </si>
  <si>
    <t>OEJV 0160 </t>
  </si>
  <si>
    <t>2455687.47467 </t>
  </si>
  <si>
    <t> 05.05.2011 23:23 </t>
  </si>
  <si>
    <t> 0.07943 </t>
  </si>
  <si>
    <t>2455687.47537 </t>
  </si>
  <si>
    <t> 05.05.2011 23:24 </t>
  </si>
  <si>
    <t> 0.08013 </t>
  </si>
  <si>
    <t>2455698.3703 </t>
  </si>
  <si>
    <t> 16.05.2011 20:53 </t>
  </si>
  <si>
    <t> 0.0777 </t>
  </si>
  <si>
    <t> K.Kasai </t>
  </si>
  <si>
    <t>VSB 53 </t>
  </si>
  <si>
    <t>2455702.3597 </t>
  </si>
  <si>
    <t> 20.05.2011 20:37 </t>
  </si>
  <si>
    <t> 0.0802 </t>
  </si>
  <si>
    <t>2455711.3947 </t>
  </si>
  <si>
    <t> 29.05.2011 21:28 </t>
  </si>
  <si>
    <t> 0.0784 </t>
  </si>
  <si>
    <t>2456001.8846 </t>
  </si>
  <si>
    <t> 15.03.2012 09:13 </t>
  </si>
  <si>
    <t> 0.0598 </t>
  </si>
  <si>
    <t>IBVS 6029 </t>
  </si>
  <si>
    <t>2456056.36626 </t>
  </si>
  <si>
    <t> 08.05.2012 20:47 </t>
  </si>
  <si>
    <t> 0.05450 </t>
  </si>
  <si>
    <t> M.Urbanik </t>
  </si>
  <si>
    <t>2456074.7055 </t>
  </si>
  <si>
    <t> 27.05.2012 04:55 </t>
  </si>
  <si>
    <t> 0.0542 </t>
  </si>
  <si>
    <t>2456418.3519 </t>
  </si>
  <si>
    <t> 05.05.2013 20:26 </t>
  </si>
  <si>
    <t> 0.0342 </t>
  </si>
  <si>
    <t>BAVM 232 </t>
  </si>
  <si>
    <t>2456764.3830 </t>
  </si>
  <si>
    <t> 16.04.2014 21:11 </t>
  </si>
  <si>
    <t> 0.0067 </t>
  </si>
  <si>
    <t>BAVM 238 </t>
  </si>
  <si>
    <t>JAVSO..44..164</t>
  </si>
  <si>
    <t>JAVSO..45..215</t>
  </si>
  <si>
    <t>VSB-64</t>
  </si>
  <si>
    <t>Rc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</si>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</sst>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9" xfId="0" applyFont="1" applyBorder="1" applyAlignment="1"/>
    <xf numFmtId="0" fontId="12" fillId="0" borderId="10" xfId="0" applyFont="1" applyBorder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24" borderId="0" xfId="0" applyFont="1" applyFill="1" applyAlignme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21" fillId="25" borderId="19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7" fillId="0" borderId="8" xfId="0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19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9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Boo - O-C Diagr.</a:t>
            </a:r>
          </a:p>
        </c:rich>
      </c:tx>
      <c:layout>
        <c:manualLayout>
          <c:xMode val="edge"/>
          <c:yMode val="edge"/>
          <c:x val="0.37156738283320401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8966565349544"/>
          <c:w val="0.8093705899846258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D-42B1-A8BD-56E6FD5765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1.3099999996484257E-3</c:v>
                </c:pt>
                <c:pt idx="26">
                  <c:v>-0.33960000000661239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D-42B1-A8BD-56E6FD5765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-0.16142000000400003</c:v>
                </c:pt>
                <c:pt idx="4">
                  <c:v>-0.18791000000055647</c:v>
                </c:pt>
                <c:pt idx="16">
                  <c:v>-0.23163000000204192</c:v>
                </c:pt>
                <c:pt idx="17">
                  <c:v>-0.25910999999905471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D-42B1-A8BD-56E6FD5765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5">
                  <c:v>-0.16741999999794643</c:v>
                </c:pt>
                <c:pt idx="6">
                  <c:v>-0.18212000000494299</c:v>
                </c:pt>
                <c:pt idx="7">
                  <c:v>-0.18676000000414206</c:v>
                </c:pt>
                <c:pt idx="8">
                  <c:v>-0.18635999999969499</c:v>
                </c:pt>
                <c:pt idx="9">
                  <c:v>-0.18566000000282656</c:v>
                </c:pt>
                <c:pt idx="10">
                  <c:v>-0.1881199999988894</c:v>
                </c:pt>
                <c:pt idx="11">
                  <c:v>-0.18557000000146218</c:v>
                </c:pt>
                <c:pt idx="12">
                  <c:v>-0.18743000000540633</c:v>
                </c:pt>
                <c:pt idx="13">
                  <c:v>-0.20600000000558794</c:v>
                </c:pt>
                <c:pt idx="14">
                  <c:v>-0.21128999999928055</c:v>
                </c:pt>
                <c:pt idx="15">
                  <c:v>-0.21156000000337372</c:v>
                </c:pt>
                <c:pt idx="18">
                  <c:v>-0.28595000000495929</c:v>
                </c:pt>
                <c:pt idx="19">
                  <c:v>-0.2851100000043516</c:v>
                </c:pt>
                <c:pt idx="20">
                  <c:v>-0.30853000000206521</c:v>
                </c:pt>
                <c:pt idx="21">
                  <c:v>-0.31018000000767643</c:v>
                </c:pt>
                <c:pt idx="22">
                  <c:v>-0.31120999999984633</c:v>
                </c:pt>
                <c:pt idx="23">
                  <c:v>-0.33442000000650296</c:v>
                </c:pt>
                <c:pt idx="24">
                  <c:v>-0.33650000000488944</c:v>
                </c:pt>
                <c:pt idx="25">
                  <c:v>-0.33582000000023982</c:v>
                </c:pt>
                <c:pt idx="27">
                  <c:v>-0.33690999999816995</c:v>
                </c:pt>
                <c:pt idx="28">
                  <c:v>-0.33459000000584638</c:v>
                </c:pt>
                <c:pt idx="29">
                  <c:v>-0.18030000010185177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D-42B1-A8BD-56E6FD5765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D-42B1-A8BD-56E6FD5765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D-42B1-A8BD-56E6FD5765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D-42B1-A8BD-56E6FD5765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-3.2092668841932556E-2</c:v>
                </c:pt>
                <c:pt idx="1">
                  <c:v>-3.4066062894150928E-2</c:v>
                </c:pt>
                <c:pt idx="2">
                  <c:v>-0.16890035650550642</c:v>
                </c:pt>
                <c:pt idx="3">
                  <c:v>-0.16977265387641452</c:v>
                </c:pt>
                <c:pt idx="4">
                  <c:v>-0.16977265387641452</c:v>
                </c:pt>
                <c:pt idx="5">
                  <c:v>-0.17204634702353572</c:v>
                </c:pt>
                <c:pt idx="6">
                  <c:v>-0.18706130176867553</c:v>
                </c:pt>
                <c:pt idx="7">
                  <c:v>-0.19004999276080334</c:v>
                </c:pt>
                <c:pt idx="8">
                  <c:v>-0.19004999276080334</c:v>
                </c:pt>
                <c:pt idx="9">
                  <c:v>-0.19004999276080334</c:v>
                </c:pt>
                <c:pt idx="10">
                  <c:v>-0.1906362909937088</c:v>
                </c:pt>
                <c:pt idx="11">
                  <c:v>-0.19085079034721081</c:v>
                </c:pt>
                <c:pt idx="12">
                  <c:v>-0.19133698888181533</c:v>
                </c:pt>
                <c:pt idx="13">
                  <c:v>-0.20696684177366087</c:v>
                </c:pt>
                <c:pt idx="14">
                  <c:v>-0.20989833293818816</c:v>
                </c:pt>
                <c:pt idx="15">
                  <c:v>-0.21088502996429734</c:v>
                </c:pt>
                <c:pt idx="16">
                  <c:v>-0.22937487423616951</c:v>
                </c:pt>
                <c:pt idx="17">
                  <c:v>-0.24799341812014286</c:v>
                </c:pt>
                <c:pt idx="18">
                  <c:v>-0.26709816053872076</c:v>
                </c:pt>
                <c:pt idx="19">
                  <c:v>-0.26758435907332528</c:v>
                </c:pt>
                <c:pt idx="20">
                  <c:v>-0.28700370054370611</c:v>
                </c:pt>
                <c:pt idx="21">
                  <c:v>-0.28750419903521079</c:v>
                </c:pt>
                <c:pt idx="22">
                  <c:v>-0.28846229614751967</c:v>
                </c:pt>
                <c:pt idx="23">
                  <c:v>-0.30403494921176472</c:v>
                </c:pt>
                <c:pt idx="24">
                  <c:v>-0.30434954826356764</c:v>
                </c:pt>
                <c:pt idx="25">
                  <c:v>-0.30689494059179134</c:v>
                </c:pt>
                <c:pt idx="26">
                  <c:v>-0.30992653145461957</c:v>
                </c:pt>
                <c:pt idx="27">
                  <c:v>-0.30605124313468346</c:v>
                </c:pt>
                <c:pt idx="28">
                  <c:v>-0.30622284261748506</c:v>
                </c:pt>
                <c:pt idx="29">
                  <c:v>-0.38900529311235588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D-42B1-A8BD-56E6FD576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8672"/>
        <c:axId val="1"/>
      </c:scatterChart>
      <c:valAx>
        <c:axId val="51360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7869224343726"/>
          <c:y val="0.92097257781427622"/>
          <c:w val="0.67528322287662346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16</xdr:col>
      <xdr:colOff>304800</xdr:colOff>
      <xdr:row>18</xdr:row>
      <xdr:rowOff>47625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587F1A3F-ABF5-7E66-E8FB-E3A34F10C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3.pdf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5992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5703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31</v>
      </c>
      <c r="B2" s="11" t="s">
        <v>39</v>
      </c>
      <c r="C2" s="3" t="s">
        <v>37</v>
      </c>
      <c r="D2" s="3"/>
    </row>
    <row r="3" spans="1:6" ht="13.5" thickBot="1"/>
    <row r="4" spans="1:6" ht="13.5" thickBot="1">
      <c r="A4" s="5" t="s">
        <v>7</v>
      </c>
      <c r="C4" s="9">
        <v>52788.423710000003</v>
      </c>
      <c r="D4" s="10">
        <v>0.53158000000000005</v>
      </c>
    </row>
    <row r="5" spans="1:6">
      <c r="A5" s="12" t="s">
        <v>42</v>
      </c>
      <c r="B5" s="13"/>
      <c r="C5" s="14">
        <v>-9.5</v>
      </c>
      <c r="D5" s="13" t="s">
        <v>43</v>
      </c>
    </row>
    <row r="6" spans="1:6">
      <c r="A6" s="5" t="s">
        <v>8</v>
      </c>
    </row>
    <row r="7" spans="1:6">
      <c r="A7" t="s">
        <v>9</v>
      </c>
      <c r="C7">
        <f>+C4</f>
        <v>52788.423710000003</v>
      </c>
    </row>
    <row r="8" spans="1:6">
      <c r="A8" t="s">
        <v>10</v>
      </c>
      <c r="C8">
        <f>+D4</f>
        <v>0.53158000000000005</v>
      </c>
    </row>
    <row r="9" spans="1:6">
      <c r="A9" s="27" t="s">
        <v>47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>
      <c r="A10" s="13"/>
      <c r="B10" s="13"/>
      <c r="C10" s="4" t="s">
        <v>27</v>
      </c>
      <c r="D10" s="4" t="s">
        <v>28</v>
      </c>
      <c r="E10" s="13"/>
    </row>
    <row r="11" spans="1:6">
      <c r="A11" s="13" t="s">
        <v>23</v>
      </c>
      <c r="B11" s="13"/>
      <c r="C11" s="15">
        <f ca="1">INTERCEPT(INDIRECT($D$9):G991,INDIRECT($C$9):F991)</f>
        <v>-3.4066062894150928E-2</v>
      </c>
      <c r="D11" s="3"/>
      <c r="E11" s="13"/>
    </row>
    <row r="12" spans="1:6">
      <c r="A12" s="13" t="s">
        <v>24</v>
      </c>
      <c r="B12" s="13"/>
      <c r="C12" s="15">
        <f ca="1">SLOPE(INDIRECT($D$9):G991,INDIRECT($C$9):F991)</f>
        <v>-2.8599913800266303E-5</v>
      </c>
      <c r="D12" s="3"/>
      <c r="E12" s="13"/>
    </row>
    <row r="13" spans="1:6">
      <c r="A13" s="13" t="s">
        <v>26</v>
      </c>
      <c r="B13" s="13"/>
      <c r="C13" s="3" t="s">
        <v>21</v>
      </c>
    </row>
    <row r="14" spans="1:6">
      <c r="A14" s="13"/>
      <c r="B14" s="13"/>
      <c r="C14" s="13"/>
    </row>
    <row r="15" spans="1:6">
      <c r="A15" s="18" t="s">
        <v>25</v>
      </c>
      <c r="B15" s="13"/>
      <c r="C15" s="19">
        <f ca="1">(C7+C11)+(C8+C12)*INT(MAX(F21:F3532))</f>
        <v>59384.94251900685</v>
      </c>
      <c r="E15" s="20" t="s">
        <v>52</v>
      </c>
      <c r="F15" s="14">
        <v>1</v>
      </c>
    </row>
    <row r="16" spans="1:6">
      <c r="A16" s="22" t="s">
        <v>11</v>
      </c>
      <c r="B16" s="13"/>
      <c r="C16" s="23">
        <f ca="1">+C8+C12</f>
        <v>0.53155140008619983</v>
      </c>
      <c r="E16" s="20" t="s">
        <v>44</v>
      </c>
      <c r="F16" s="21">
        <f ca="1">NOW()+15018.5+$C$5/24</f>
        <v>59970.780335763884</v>
      </c>
    </row>
    <row r="17" spans="1:21" ht="13.5" thickBot="1">
      <c r="A17" s="20" t="s">
        <v>35</v>
      </c>
      <c r="B17" s="13"/>
      <c r="C17" s="13">
        <f>COUNT(C21:C2190)</f>
        <v>30</v>
      </c>
      <c r="E17" s="20" t="s">
        <v>53</v>
      </c>
      <c r="F17" s="21">
        <f ca="1">ROUND(2*(F16-$C$7)/$C$8,0)/2+F15</f>
        <v>13512.5</v>
      </c>
    </row>
    <row r="18" spans="1:21" ht="14.25" thickTop="1" thickBot="1">
      <c r="A18" s="22" t="s">
        <v>12</v>
      </c>
      <c r="B18" s="13"/>
      <c r="C18" s="25">
        <f ca="1">+C15</f>
        <v>59384.94251900685</v>
      </c>
      <c r="D18" s="26">
        <f ca="1">+C16</f>
        <v>0.53155140008619983</v>
      </c>
      <c r="E18" s="20" t="s">
        <v>45</v>
      </c>
      <c r="F18" s="17">
        <f ca="1">ROUND(2*(F16-$C$15)/$C$16,0)/2+F15</f>
        <v>1103</v>
      </c>
    </row>
    <row r="19" spans="1:21" ht="13.5" thickTop="1">
      <c r="E19" s="20" t="s">
        <v>46</v>
      </c>
      <c r="F19" s="24">
        <f ca="1">+$C$15+$C$16*F18-15018.5-$C$5/24</f>
        <v>44953.139546635262</v>
      </c>
    </row>
    <row r="20" spans="1:21" ht="13.5" thickBot="1">
      <c r="A20" s="4" t="s">
        <v>13</v>
      </c>
      <c r="B20" s="4" t="s">
        <v>14</v>
      </c>
      <c r="C20" s="4" t="s">
        <v>15</v>
      </c>
      <c r="D20" s="4" t="s">
        <v>20</v>
      </c>
      <c r="E20" s="4" t="s">
        <v>16</v>
      </c>
      <c r="F20" s="4" t="s">
        <v>17</v>
      </c>
      <c r="G20" s="4" t="s">
        <v>18</v>
      </c>
      <c r="H20" s="7" t="s">
        <v>64</v>
      </c>
      <c r="I20" s="7" t="s">
        <v>67</v>
      </c>
      <c r="J20" s="7" t="s">
        <v>61</v>
      </c>
      <c r="K20" s="7" t="s">
        <v>59</v>
      </c>
      <c r="L20" s="7" t="s">
        <v>32</v>
      </c>
      <c r="M20" s="7" t="s">
        <v>33</v>
      </c>
      <c r="N20" s="7" t="s">
        <v>34</v>
      </c>
      <c r="O20" s="7" t="s">
        <v>30</v>
      </c>
      <c r="P20" s="6" t="s">
        <v>29</v>
      </c>
      <c r="Q20" s="4" t="s">
        <v>22</v>
      </c>
      <c r="U20" s="50" t="s">
        <v>2</v>
      </c>
    </row>
    <row r="21" spans="1:21">
      <c r="A21" t="s">
        <v>38</v>
      </c>
      <c r="C21" s="8">
        <v>52751.745999999999</v>
      </c>
      <c r="D21" s="8" t="s">
        <v>21</v>
      </c>
      <c r="E21">
        <f t="shared" ref="E21:E46" si="0">+(C21-C$7)/C$8</f>
        <v>-68.997535648450977</v>
      </c>
      <c r="F21">
        <f>ROUND(2*E21,0)/2</f>
        <v>-69</v>
      </c>
      <c r="G21">
        <f>+C21-(C$7+F21*C$8)</f>
        <v>1.3099999996484257E-3</v>
      </c>
      <c r="I21">
        <f>+G21</f>
        <v>1.3099999996484257E-3</v>
      </c>
      <c r="O21">
        <f t="shared" ref="O21:O46" ca="1" si="1">+C$11+C$12*$F21</f>
        <v>-3.2092668841932556E-2</v>
      </c>
      <c r="Q21" s="2">
        <f t="shared" ref="Q21:Q46" si="2">+C21-15018.5</f>
        <v>37733.245999999999</v>
      </c>
    </row>
    <row r="22" spans="1:21">
      <c r="A22" s="29" t="s">
        <v>19</v>
      </c>
      <c r="B22" s="29"/>
      <c r="C22" s="30">
        <v>52788.423710000003</v>
      </c>
      <c r="D22" s="30" t="s">
        <v>21</v>
      </c>
      <c r="E22">
        <f t="shared" si="0"/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t="shared" ca="1" si="1"/>
        <v>-3.4066062894150928E-2</v>
      </c>
      <c r="Q22" s="2">
        <f t="shared" si="2"/>
        <v>37769.923710000003</v>
      </c>
    </row>
    <row r="23" spans="1:21">
      <c r="A23" s="31" t="s">
        <v>48</v>
      </c>
      <c r="B23" s="32" t="s">
        <v>49</v>
      </c>
      <c r="C23" s="31">
        <v>55294.396200000003</v>
      </c>
      <c r="D23" s="31">
        <v>5.7999999999999996E-3</v>
      </c>
      <c r="E23">
        <f t="shared" si="0"/>
        <v>4714.1963392151692</v>
      </c>
      <c r="F23" s="33">
        <f t="shared" ref="F23:F49" si="3">ROUND(2*E23,0)/2+0.5</f>
        <v>4714.5</v>
      </c>
      <c r="G23">
        <f>+C23-(C$7+F23*C$8)</f>
        <v>-0.16142000000400003</v>
      </c>
      <c r="J23">
        <f>+G23</f>
        <v>-0.16142000000400003</v>
      </c>
      <c r="O23">
        <f t="shared" ca="1" si="1"/>
        <v>-0.16890035650550642</v>
      </c>
      <c r="Q23" s="2">
        <f t="shared" si="2"/>
        <v>40275.896200000003</v>
      </c>
    </row>
    <row r="24" spans="1:21">
      <c r="A24" s="31" t="s">
        <v>48</v>
      </c>
      <c r="B24" s="32" t="s">
        <v>49</v>
      </c>
      <c r="C24" s="31">
        <v>55310.406600000002</v>
      </c>
      <c r="D24" s="31">
        <v>3.5999999999999999E-3</v>
      </c>
      <c r="E24">
        <f t="shared" si="0"/>
        <v>4744.314853831971</v>
      </c>
      <c r="F24" s="33">
        <f t="shared" si="3"/>
        <v>4745</v>
      </c>
      <c r="O24">
        <f t="shared" ca="1" si="1"/>
        <v>-0.16977265387641452</v>
      </c>
      <c r="Q24" s="2">
        <f t="shared" si="2"/>
        <v>40291.906600000002</v>
      </c>
      <c r="U24" s="17">
        <v>-9.8420000002079178E-2</v>
      </c>
    </row>
    <row r="25" spans="1:21">
      <c r="A25" s="31" t="s">
        <v>48</v>
      </c>
      <c r="B25" s="32" t="s">
        <v>41</v>
      </c>
      <c r="C25" s="31">
        <v>55310.582900000001</v>
      </c>
      <c r="D25" s="31">
        <v>1.1000000000000001E-3</v>
      </c>
      <c r="E25">
        <f t="shared" si="0"/>
        <v>4744.6465066405772</v>
      </c>
      <c r="F25" s="33">
        <f t="shared" si="3"/>
        <v>4745</v>
      </c>
      <c r="G25">
        <f t="shared" ref="G25:G46" si="4">+C25-(C$7+F25*C$8)</f>
        <v>-0.18791000000055647</v>
      </c>
      <c r="J25">
        <f>+G25</f>
        <v>-0.18791000000055647</v>
      </c>
      <c r="O25">
        <f t="shared" ca="1" si="1"/>
        <v>-0.16977265387641452</v>
      </c>
      <c r="Q25" s="2">
        <f t="shared" si="2"/>
        <v>40292.082900000001</v>
      </c>
    </row>
    <row r="26" spans="1:21">
      <c r="A26" s="31" t="s">
        <v>40</v>
      </c>
      <c r="B26" s="32" t="s">
        <v>41</v>
      </c>
      <c r="C26" s="31">
        <v>55352.864000000001</v>
      </c>
      <c r="D26" s="31">
        <v>5.0000000000000001E-3</v>
      </c>
      <c r="E26">
        <f t="shared" si="0"/>
        <v>4824.1850521088045</v>
      </c>
      <c r="F26" s="33">
        <f t="shared" si="3"/>
        <v>4824.5</v>
      </c>
      <c r="G26">
        <f t="shared" si="4"/>
        <v>-0.16741999999794643</v>
      </c>
      <c r="K26">
        <f t="shared" ref="K26:K36" si="5">+G26</f>
        <v>-0.16741999999794643</v>
      </c>
      <c r="O26">
        <f t="shared" ca="1" si="1"/>
        <v>-0.17204634702353572</v>
      </c>
      <c r="Q26" s="2">
        <f t="shared" si="2"/>
        <v>40334.364000000001</v>
      </c>
    </row>
    <row r="27" spans="1:21">
      <c r="A27" s="51" t="s">
        <v>50</v>
      </c>
      <c r="B27" s="52" t="s">
        <v>41</v>
      </c>
      <c r="C27" s="51">
        <v>55631.928800000002</v>
      </c>
      <c r="D27" s="51">
        <v>5.0000000000000001E-4</v>
      </c>
      <c r="E27">
        <f t="shared" si="0"/>
        <v>5349.1573986982175</v>
      </c>
      <c r="F27" s="33">
        <f t="shared" si="3"/>
        <v>5349.5</v>
      </c>
      <c r="G27">
        <f t="shared" si="4"/>
        <v>-0.18212000000494299</v>
      </c>
      <c r="K27">
        <f t="shared" si="5"/>
        <v>-0.18212000000494299</v>
      </c>
      <c r="O27">
        <f t="shared" ca="1" si="1"/>
        <v>-0.18706130176867553</v>
      </c>
      <c r="Q27" s="2">
        <f t="shared" si="2"/>
        <v>40613.428800000002</v>
      </c>
    </row>
    <row r="28" spans="1:21">
      <c r="A28" s="53" t="s">
        <v>54</v>
      </c>
      <c r="B28" s="54" t="s">
        <v>49</v>
      </c>
      <c r="C28" s="55">
        <v>55687.474269999999</v>
      </c>
      <c r="D28" s="55">
        <v>2.0000000000000001E-4</v>
      </c>
      <c r="E28">
        <f t="shared" si="0"/>
        <v>5453.6486700026253</v>
      </c>
      <c r="F28" s="33">
        <f t="shared" si="3"/>
        <v>5454</v>
      </c>
      <c r="G28">
        <f t="shared" si="4"/>
        <v>-0.18676000000414206</v>
      </c>
      <c r="K28">
        <f t="shared" si="5"/>
        <v>-0.18676000000414206</v>
      </c>
      <c r="O28">
        <f t="shared" ca="1" si="1"/>
        <v>-0.19004999276080334</v>
      </c>
      <c r="Q28" s="2">
        <f t="shared" si="2"/>
        <v>40668.974269999999</v>
      </c>
    </row>
    <row r="29" spans="1:21">
      <c r="A29" s="53" t="s">
        <v>54</v>
      </c>
      <c r="B29" s="54" t="s">
        <v>49</v>
      </c>
      <c r="C29" s="55">
        <v>55687.474670000003</v>
      </c>
      <c r="D29" s="55">
        <v>2.0000000000000001E-4</v>
      </c>
      <c r="E29">
        <f t="shared" si="0"/>
        <v>5453.6494224763919</v>
      </c>
      <c r="F29" s="33">
        <f t="shared" si="3"/>
        <v>5454</v>
      </c>
      <c r="G29">
        <f t="shared" si="4"/>
        <v>-0.18635999999969499</v>
      </c>
      <c r="K29">
        <f t="shared" si="5"/>
        <v>-0.18635999999969499</v>
      </c>
      <c r="O29">
        <f t="shared" ca="1" si="1"/>
        <v>-0.19004999276080334</v>
      </c>
      <c r="Q29" s="2">
        <f t="shared" si="2"/>
        <v>40668.974670000003</v>
      </c>
    </row>
    <row r="30" spans="1:21">
      <c r="A30" s="53" t="s">
        <v>54</v>
      </c>
      <c r="B30" s="54" t="s">
        <v>49</v>
      </c>
      <c r="C30" s="55">
        <v>55687.47537</v>
      </c>
      <c r="D30" s="55">
        <v>2.0000000000000001E-4</v>
      </c>
      <c r="E30">
        <f t="shared" si="0"/>
        <v>5453.6507393054608</v>
      </c>
      <c r="F30" s="33">
        <f t="shared" si="3"/>
        <v>5454</v>
      </c>
      <c r="G30">
        <f t="shared" si="4"/>
        <v>-0.18566000000282656</v>
      </c>
      <c r="K30">
        <f t="shared" si="5"/>
        <v>-0.18566000000282656</v>
      </c>
      <c r="O30">
        <f t="shared" ca="1" si="1"/>
        <v>-0.19004999276080334</v>
      </c>
      <c r="Q30" s="2">
        <f t="shared" si="2"/>
        <v>40668.97537</v>
      </c>
    </row>
    <row r="31" spans="1:21">
      <c r="A31" s="48" t="s">
        <v>99</v>
      </c>
      <c r="B31" s="49" t="s">
        <v>49</v>
      </c>
      <c r="C31" s="48">
        <v>55698.370300000002</v>
      </c>
      <c r="D31" s="48" t="s">
        <v>67</v>
      </c>
      <c r="E31">
        <f t="shared" si="0"/>
        <v>5474.1461115918564</v>
      </c>
      <c r="F31" s="33">
        <f t="shared" si="3"/>
        <v>5474.5</v>
      </c>
      <c r="G31">
        <f t="shared" si="4"/>
        <v>-0.1881199999988894</v>
      </c>
      <c r="K31">
        <f t="shared" si="5"/>
        <v>-0.1881199999988894</v>
      </c>
      <c r="O31">
        <f t="shared" ca="1" si="1"/>
        <v>-0.1906362909937088</v>
      </c>
      <c r="Q31" s="2">
        <f t="shared" si="2"/>
        <v>40679.870300000002</v>
      </c>
    </row>
    <row r="32" spans="1:21">
      <c r="A32" s="48" t="s">
        <v>99</v>
      </c>
      <c r="B32" s="49" t="s">
        <v>41</v>
      </c>
      <c r="C32" s="48">
        <v>55702.359700000001</v>
      </c>
      <c r="D32" s="48" t="s">
        <v>67</v>
      </c>
      <c r="E32">
        <f t="shared" si="0"/>
        <v>5481.6509086120577</v>
      </c>
      <c r="F32" s="33">
        <f t="shared" si="3"/>
        <v>5482</v>
      </c>
      <c r="G32">
        <f t="shared" si="4"/>
        <v>-0.18557000000146218</v>
      </c>
      <c r="K32">
        <f t="shared" si="5"/>
        <v>-0.18557000000146218</v>
      </c>
      <c r="O32">
        <f t="shared" ca="1" si="1"/>
        <v>-0.19085079034721081</v>
      </c>
      <c r="Q32" s="2">
        <f t="shared" si="2"/>
        <v>40683.859700000001</v>
      </c>
    </row>
    <row r="33" spans="1:17">
      <c r="A33" s="48" t="s">
        <v>99</v>
      </c>
      <c r="B33" s="49" t="s">
        <v>41</v>
      </c>
      <c r="C33" s="48">
        <v>55711.394699999997</v>
      </c>
      <c r="D33" s="48" t="s">
        <v>67</v>
      </c>
      <c r="E33">
        <f t="shared" si="0"/>
        <v>5498.6474096090787</v>
      </c>
      <c r="F33" s="33">
        <f t="shared" si="3"/>
        <v>5499</v>
      </c>
      <c r="G33">
        <f t="shared" si="4"/>
        <v>-0.18743000000540633</v>
      </c>
      <c r="K33">
        <f t="shared" si="5"/>
        <v>-0.18743000000540633</v>
      </c>
      <c r="O33">
        <f t="shared" ca="1" si="1"/>
        <v>-0.19133698888181533</v>
      </c>
      <c r="Q33" s="2">
        <f t="shared" si="2"/>
        <v>40692.894699999997</v>
      </c>
    </row>
    <row r="34" spans="1:17">
      <c r="A34" s="30" t="s">
        <v>51</v>
      </c>
      <c r="B34" s="34" t="s">
        <v>41</v>
      </c>
      <c r="C34" s="30">
        <v>56001.884599999998</v>
      </c>
      <c r="D34" s="30">
        <v>4.0000000000000002E-4</v>
      </c>
      <c r="E34">
        <f t="shared" si="0"/>
        <v>6045.1124760148887</v>
      </c>
      <c r="F34" s="33">
        <f t="shared" si="3"/>
        <v>6045.5</v>
      </c>
      <c r="G34">
        <f t="shared" si="4"/>
        <v>-0.20600000000558794</v>
      </c>
      <c r="K34">
        <f t="shared" si="5"/>
        <v>-0.20600000000558794</v>
      </c>
      <c r="O34">
        <f t="shared" ca="1" si="1"/>
        <v>-0.20696684177366087</v>
      </c>
      <c r="Q34" s="2">
        <f t="shared" si="2"/>
        <v>40983.384599999998</v>
      </c>
    </row>
    <row r="35" spans="1:17">
      <c r="A35" s="53" t="s">
        <v>54</v>
      </c>
      <c r="B35" s="54" t="s">
        <v>49</v>
      </c>
      <c r="C35" s="55">
        <v>56056.366260000003</v>
      </c>
      <c r="D35" s="55">
        <v>8.0000000000000004E-4</v>
      </c>
      <c r="E35">
        <f t="shared" si="0"/>
        <v>6147.6025245494557</v>
      </c>
      <c r="F35" s="33">
        <f t="shared" si="3"/>
        <v>6148</v>
      </c>
      <c r="G35">
        <f t="shared" si="4"/>
        <v>-0.21128999999928055</v>
      </c>
      <c r="K35">
        <f t="shared" si="5"/>
        <v>-0.21128999999928055</v>
      </c>
      <c r="O35">
        <f t="shared" ca="1" si="1"/>
        <v>-0.20989833293818816</v>
      </c>
      <c r="Q35" s="2">
        <f t="shared" si="2"/>
        <v>41037.866260000003</v>
      </c>
    </row>
    <row r="36" spans="1:17">
      <c r="A36" s="55" t="s">
        <v>51</v>
      </c>
      <c r="B36" s="54" t="s">
        <v>41</v>
      </c>
      <c r="C36" s="55">
        <v>56074.705499999996</v>
      </c>
      <c r="D36" s="55">
        <v>5.9999999999999995E-4</v>
      </c>
      <c r="E36">
        <f t="shared" si="0"/>
        <v>6182.1020166296576</v>
      </c>
      <c r="F36" s="33">
        <f t="shared" si="3"/>
        <v>6182.5</v>
      </c>
      <c r="G36">
        <f t="shared" si="4"/>
        <v>-0.21156000000337372</v>
      </c>
      <c r="K36">
        <f t="shared" si="5"/>
        <v>-0.21156000000337372</v>
      </c>
      <c r="O36">
        <f t="shared" ca="1" si="1"/>
        <v>-0.21088502996429734</v>
      </c>
      <c r="Q36" s="2">
        <f t="shared" si="2"/>
        <v>41056.205499999996</v>
      </c>
    </row>
    <row r="37" spans="1:17">
      <c r="A37" s="55" t="s">
        <v>55</v>
      </c>
      <c r="B37" s="54" t="s">
        <v>49</v>
      </c>
      <c r="C37" s="55">
        <v>56418.351900000001</v>
      </c>
      <c r="D37" s="55">
        <v>4.0000000000000001E-3</v>
      </c>
      <c r="E37">
        <f t="shared" si="0"/>
        <v>6828.5642612588854</v>
      </c>
      <c r="F37" s="33">
        <f t="shared" si="3"/>
        <v>6829</v>
      </c>
      <c r="G37">
        <f t="shared" si="4"/>
        <v>-0.23163000000204192</v>
      </c>
      <c r="J37">
        <f>+G37</f>
        <v>-0.23163000000204192</v>
      </c>
      <c r="O37">
        <f t="shared" ca="1" si="1"/>
        <v>-0.22937487423616951</v>
      </c>
      <c r="Q37" s="2">
        <f t="shared" si="2"/>
        <v>41399.851900000001</v>
      </c>
    </row>
    <row r="38" spans="1:17">
      <c r="A38" s="56" t="s">
        <v>56</v>
      </c>
      <c r="B38" s="57" t="s">
        <v>49</v>
      </c>
      <c r="C38" s="56">
        <v>56764.383000000002</v>
      </c>
      <c r="D38" s="56">
        <v>1.5E-3</v>
      </c>
      <c r="E38">
        <f t="shared" si="0"/>
        <v>7479.5125663117469</v>
      </c>
      <c r="F38" s="33">
        <f t="shared" si="3"/>
        <v>7480</v>
      </c>
      <c r="G38">
        <f t="shared" si="4"/>
        <v>-0.25910999999905471</v>
      </c>
      <c r="J38">
        <f>+G38</f>
        <v>-0.25910999999905471</v>
      </c>
      <c r="O38">
        <f t="shared" ca="1" si="1"/>
        <v>-0.24799341812014286</v>
      </c>
      <c r="Q38" s="2">
        <f t="shared" si="2"/>
        <v>41745.883000000002</v>
      </c>
    </row>
    <row r="39" spans="1:17">
      <c r="A39" s="58" t="s">
        <v>5</v>
      </c>
      <c r="B39" s="59" t="s">
        <v>49</v>
      </c>
      <c r="C39" s="60">
        <v>57119.4516</v>
      </c>
      <c r="D39" s="60" t="s">
        <v>3</v>
      </c>
      <c r="E39">
        <f t="shared" si="0"/>
        <v>8147.4620753226181</v>
      </c>
      <c r="F39" s="33">
        <f t="shared" si="3"/>
        <v>8148</v>
      </c>
      <c r="G39">
        <f t="shared" si="4"/>
        <v>-0.28595000000495929</v>
      </c>
      <c r="K39">
        <f t="shared" ref="K39:K46" si="6">+G39</f>
        <v>-0.28595000000495929</v>
      </c>
      <c r="O39">
        <f t="shared" ca="1" si="1"/>
        <v>-0.26709816053872076</v>
      </c>
      <c r="Q39" s="2">
        <f t="shared" si="2"/>
        <v>42100.9516</v>
      </c>
    </row>
    <row r="40" spans="1:17">
      <c r="A40" s="62" t="s">
        <v>5</v>
      </c>
      <c r="B40" s="63" t="s">
        <v>49</v>
      </c>
      <c r="C40" s="64">
        <v>57128.489300000001</v>
      </c>
      <c r="D40" s="64" t="s">
        <v>6</v>
      </c>
      <c r="E40">
        <f t="shared" si="0"/>
        <v>8164.4636555175102</v>
      </c>
      <c r="F40" s="33">
        <f t="shared" si="3"/>
        <v>8165</v>
      </c>
      <c r="G40">
        <f t="shared" si="4"/>
        <v>-0.2851100000043516</v>
      </c>
      <c r="K40">
        <f t="shared" si="6"/>
        <v>-0.2851100000043516</v>
      </c>
      <c r="O40">
        <f t="shared" ca="1" si="1"/>
        <v>-0.26758435907332528</v>
      </c>
      <c r="Q40" s="2">
        <f t="shared" si="2"/>
        <v>42109.989300000001</v>
      </c>
    </row>
    <row r="41" spans="1:17">
      <c r="A41" s="62" t="s">
        <v>5</v>
      </c>
      <c r="B41" s="63" t="s">
        <v>49</v>
      </c>
      <c r="C41" s="64">
        <v>57489.4087</v>
      </c>
      <c r="D41" s="64" t="s">
        <v>6</v>
      </c>
      <c r="E41">
        <f t="shared" si="0"/>
        <v>8843.4195981790072</v>
      </c>
      <c r="F41" s="33">
        <f t="shared" si="3"/>
        <v>8844</v>
      </c>
      <c r="G41">
        <f t="shared" si="4"/>
        <v>-0.30853000000206521</v>
      </c>
      <c r="K41">
        <f t="shared" si="6"/>
        <v>-0.30853000000206521</v>
      </c>
      <c r="O41">
        <f t="shared" ca="1" si="1"/>
        <v>-0.28700370054370611</v>
      </c>
      <c r="Q41" s="2">
        <f t="shared" si="2"/>
        <v>42470.9087</v>
      </c>
    </row>
    <row r="42" spans="1:17">
      <c r="A42" s="65" t="s">
        <v>125</v>
      </c>
      <c r="B42" s="66" t="s">
        <v>41</v>
      </c>
      <c r="C42" s="67">
        <v>57498.709699999999</v>
      </c>
      <c r="D42" s="67">
        <v>2.0000000000000001E-4</v>
      </c>
      <c r="E42">
        <f t="shared" si="0"/>
        <v>8860.9164942247571</v>
      </c>
      <c r="F42" s="33">
        <f t="shared" si="3"/>
        <v>8861.5</v>
      </c>
      <c r="G42">
        <f t="shared" si="4"/>
        <v>-0.31018000000767643</v>
      </c>
      <c r="K42">
        <f t="shared" si="6"/>
        <v>-0.31018000000767643</v>
      </c>
      <c r="O42">
        <f t="shared" ca="1" si="1"/>
        <v>-0.28750419903521079</v>
      </c>
      <c r="Q42" s="2">
        <f t="shared" si="2"/>
        <v>42480.209699999999</v>
      </c>
    </row>
    <row r="43" spans="1:17">
      <c r="A43" s="62" t="s">
        <v>5</v>
      </c>
      <c r="B43" s="63" t="s">
        <v>49</v>
      </c>
      <c r="C43" s="64">
        <v>57516.516600000003</v>
      </c>
      <c r="D43" s="64" t="s">
        <v>4</v>
      </c>
      <c r="E43">
        <f t="shared" si="0"/>
        <v>8894.4145566048373</v>
      </c>
      <c r="F43" s="33">
        <f t="shared" si="3"/>
        <v>8895</v>
      </c>
      <c r="G43">
        <f t="shared" si="4"/>
        <v>-0.31120999999984633</v>
      </c>
      <c r="K43">
        <f t="shared" si="6"/>
        <v>-0.31120999999984633</v>
      </c>
      <c r="O43">
        <f t="shared" ca="1" si="1"/>
        <v>-0.28846229614751967</v>
      </c>
      <c r="Q43" s="2">
        <f t="shared" si="2"/>
        <v>42498.016600000003</v>
      </c>
    </row>
    <row r="44" spans="1:17">
      <c r="A44" s="68" t="s">
        <v>126</v>
      </c>
      <c r="B44" s="69" t="s">
        <v>41</v>
      </c>
      <c r="C44" s="70">
        <v>57805.938699999999</v>
      </c>
      <c r="D44" s="70">
        <v>2.9999999999999997E-4</v>
      </c>
      <c r="E44">
        <f t="shared" si="0"/>
        <v>9438.8708943150523</v>
      </c>
      <c r="F44" s="33">
        <f t="shared" si="3"/>
        <v>9439.5</v>
      </c>
      <c r="G44">
        <f t="shared" si="4"/>
        <v>-0.33442000000650296</v>
      </c>
      <c r="K44">
        <f t="shared" si="6"/>
        <v>-0.33442000000650296</v>
      </c>
      <c r="O44">
        <f t="shared" ca="1" si="1"/>
        <v>-0.30403494921176472</v>
      </c>
      <c r="Q44" s="2">
        <f t="shared" si="2"/>
        <v>42787.438699999999</v>
      </c>
    </row>
    <row r="45" spans="1:17">
      <c r="A45" s="68" t="s">
        <v>126</v>
      </c>
      <c r="B45" s="69" t="s">
        <v>41</v>
      </c>
      <c r="C45" s="70">
        <v>57811.784</v>
      </c>
      <c r="D45" s="70">
        <v>2.0000000000000001E-4</v>
      </c>
      <c r="E45">
        <f t="shared" si="0"/>
        <v>9449.8669814515142</v>
      </c>
      <c r="F45" s="33">
        <f t="shared" si="3"/>
        <v>9450.5</v>
      </c>
      <c r="G45">
        <f t="shared" si="4"/>
        <v>-0.33650000000488944</v>
      </c>
      <c r="K45">
        <f t="shared" si="6"/>
        <v>-0.33650000000488944</v>
      </c>
      <c r="O45">
        <f t="shared" ca="1" si="1"/>
        <v>-0.30434954826356764</v>
      </c>
      <c r="Q45" s="2">
        <f t="shared" si="2"/>
        <v>42793.284</v>
      </c>
    </row>
    <row r="46" spans="1:17">
      <c r="A46" s="71" t="s">
        <v>127</v>
      </c>
      <c r="B46" s="72" t="s">
        <v>41</v>
      </c>
      <c r="C46" s="73">
        <v>57859.095300000001</v>
      </c>
      <c r="D46" s="74" t="s">
        <v>128</v>
      </c>
      <c r="E46">
        <f t="shared" si="0"/>
        <v>9538.8682606569055</v>
      </c>
      <c r="F46" s="33">
        <f t="shared" si="3"/>
        <v>9539.5</v>
      </c>
      <c r="G46">
        <f t="shared" si="4"/>
        <v>-0.33582000000023982</v>
      </c>
      <c r="K46">
        <f t="shared" si="6"/>
        <v>-0.33582000000023982</v>
      </c>
      <c r="O46">
        <f t="shared" ca="1" si="1"/>
        <v>-0.30689494059179134</v>
      </c>
      <c r="Q46" s="2">
        <f t="shared" si="2"/>
        <v>42840.595300000001</v>
      </c>
    </row>
    <row r="47" spans="1:17">
      <c r="A47" s="79" t="s">
        <v>1</v>
      </c>
      <c r="B47" s="76" t="s">
        <v>41</v>
      </c>
      <c r="C47" s="61">
        <v>57915.438999999998</v>
      </c>
      <c r="D47" s="61">
        <v>0.01</v>
      </c>
      <c r="E47">
        <f>+(C47-C$7)/C$8</f>
        <v>9644.861149779892</v>
      </c>
      <c r="F47" s="33">
        <f t="shared" si="3"/>
        <v>9645.5</v>
      </c>
      <c r="G47">
        <f>+C47-(C$7+F47*C$8)</f>
        <v>-0.33960000000661239</v>
      </c>
      <c r="I47">
        <f>+G47</f>
        <v>-0.33960000000661239</v>
      </c>
      <c r="O47">
        <f ca="1">+C$11+C$12*$F47</f>
        <v>-0.30992653145461957</v>
      </c>
      <c r="Q47" s="2">
        <f>+C47-15018.5</f>
        <v>42896.938999999998</v>
      </c>
    </row>
    <row r="48" spans="1:17">
      <c r="A48" s="75" t="s">
        <v>0</v>
      </c>
      <c r="B48" s="77" t="s">
        <v>49</v>
      </c>
      <c r="C48" s="78">
        <v>57843.412600000003</v>
      </c>
      <c r="D48" s="78">
        <v>1.1000000000000001E-3</v>
      </c>
      <c r="E48">
        <f>+(C48-C$7)/C$8</f>
        <v>9509.3662101659211</v>
      </c>
      <c r="F48" s="33">
        <f t="shared" si="3"/>
        <v>9510</v>
      </c>
      <c r="G48">
        <f>+C48-(C$7+F48*C$8)</f>
        <v>-0.33690999999816995</v>
      </c>
      <c r="K48">
        <f>+G48</f>
        <v>-0.33690999999816995</v>
      </c>
      <c r="O48">
        <f ca="1">+C$11+C$12*$F48</f>
        <v>-0.30605124313468346</v>
      </c>
      <c r="Q48" s="2">
        <f>+C48-15018.5</f>
        <v>42824.912600000003</v>
      </c>
    </row>
    <row r="49" spans="1:17">
      <c r="A49" s="75" t="s">
        <v>0</v>
      </c>
      <c r="B49" s="77" t="s">
        <v>49</v>
      </c>
      <c r="C49" s="78">
        <v>57846.604399999997</v>
      </c>
      <c r="D49" s="78">
        <v>1.6000000000000001E-3</v>
      </c>
      <c r="E49">
        <f>+(C49-C$7)/C$8</f>
        <v>9515.3705745137013</v>
      </c>
      <c r="F49" s="33">
        <f t="shared" si="3"/>
        <v>9516</v>
      </c>
      <c r="G49">
        <f>+C49-(C$7+F49*C$8)</f>
        <v>-0.33459000000584638</v>
      </c>
      <c r="K49">
        <f>+G49</f>
        <v>-0.33459000000584638</v>
      </c>
      <c r="O49">
        <f ca="1">+C$11+C$12*$F49</f>
        <v>-0.30622284261748506</v>
      </c>
      <c r="Q49" s="2">
        <f>+C49-15018.5</f>
        <v>42828.104399999997</v>
      </c>
    </row>
    <row r="50" spans="1:17">
      <c r="A50" s="80" t="s">
        <v>129</v>
      </c>
      <c r="B50" s="81" t="s">
        <v>49</v>
      </c>
      <c r="C50" s="82">
        <v>59385.416999999899</v>
      </c>
      <c r="D50" s="80">
        <v>8.0000000000000002E-3</v>
      </c>
      <c r="E50">
        <f>+(C50-C$7)/C$8</f>
        <v>12410.160822453621</v>
      </c>
      <c r="F50" s="33">
        <f t="shared" ref="F50" si="7">ROUND(2*E50,0)/2+0.5</f>
        <v>12410.5</v>
      </c>
      <c r="G50">
        <f>+C50-(C$7+F50*C$8)</f>
        <v>-0.18030000010185177</v>
      </c>
      <c r="K50">
        <f>+G50</f>
        <v>-0.18030000010185177</v>
      </c>
      <c r="O50">
        <f ca="1">+C$11+C$12*$F50</f>
        <v>-0.38900529311235588</v>
      </c>
      <c r="Q50" s="2">
        <f>+C50-15018.5</f>
        <v>44366.916999999899</v>
      </c>
    </row>
    <row r="51" spans="1:17">
      <c r="C51" s="8"/>
      <c r="D51" s="8"/>
    </row>
    <row r="52" spans="1:17">
      <c r="C52" s="8"/>
      <c r="D52" s="8"/>
    </row>
    <row r="53" spans="1:17">
      <c r="C53" s="8"/>
      <c r="D53" s="8"/>
    </row>
    <row r="54" spans="1:17">
      <c r="C54" s="8"/>
      <c r="D54" s="8"/>
    </row>
    <row r="55" spans="1:17">
      <c r="C55" s="8"/>
      <c r="D55" s="8"/>
    </row>
    <row r="56" spans="1:17">
      <c r="C56" s="8"/>
      <c r="D56" s="8"/>
    </row>
    <row r="57" spans="1:17">
      <c r="C57" s="8"/>
      <c r="D57" s="8"/>
    </row>
    <row r="58" spans="1:17">
      <c r="C58" s="8"/>
      <c r="D58" s="8"/>
    </row>
    <row r="59" spans="1:17">
      <c r="C59" s="8"/>
      <c r="D59" s="8"/>
    </row>
    <row r="60" spans="1:17">
      <c r="C60" s="8"/>
      <c r="D60" s="8"/>
    </row>
    <row r="61" spans="1:17">
      <c r="C61" s="8"/>
      <c r="D61" s="8"/>
    </row>
    <row r="62" spans="1:17">
      <c r="C62" s="8"/>
      <c r="D62" s="8"/>
    </row>
    <row r="63" spans="1:17">
      <c r="C63" s="8"/>
      <c r="D63" s="8"/>
    </row>
    <row r="64" spans="1:17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8" type="noConversion"/>
  <hyperlinks>
    <hyperlink ref="H2914" r:id="rId1" display="http://vsolj.cetus-net.org/bulletin.html" xr:uid="{00000000-0004-0000-0000-000000000000}"/>
    <hyperlink ref="H64724" r:id="rId2" display="http://vsolj.cetus-net.org/bulletin.html" xr:uid="{00000000-0004-0000-0000-000001000000}"/>
    <hyperlink ref="H64717" r:id="rId3" display="https://www.aavso.org/ejaavso" xr:uid="{00000000-0004-0000-0000-000002000000}"/>
    <hyperlink ref="AP1575" r:id="rId4" display="http://cdsbib.u-strasbg.fr/cgi-bin/cdsbib?1990RMxAA..21..381G" xr:uid="{00000000-0004-0000-0000-000003000000}"/>
    <hyperlink ref="AP1572" r:id="rId5" display="http://cdsbib.u-strasbg.fr/cgi-bin/cdsbib?1990RMxAA..21..381G" xr:uid="{00000000-0004-0000-0000-000004000000}"/>
    <hyperlink ref="AP1574" r:id="rId6" display="http://cdsbib.u-strasbg.fr/cgi-bin/cdsbib?1990RMxAA..21..381G" xr:uid="{00000000-0004-0000-0000-000005000000}"/>
    <hyperlink ref="AP1550" r:id="rId7" display="http://cdsbib.u-strasbg.fr/cgi-bin/cdsbib?1990RMxAA..21..381G" xr:uid="{00000000-0004-0000-0000-000006000000}"/>
    <hyperlink ref="I64724" r:id="rId8" display="http://vsolj.cetus-net.org/bulletin.html" xr:uid="{00000000-0004-0000-0000-000007000000}"/>
    <hyperlink ref="AQ1711" r:id="rId9" display="http://cdsbib.u-strasbg.fr/cgi-bin/cdsbib?1990RMxAA..21..381G" xr:uid="{00000000-0004-0000-0000-000008000000}"/>
    <hyperlink ref="AQ3355" r:id="rId10" display="http://cdsbib.u-strasbg.fr/cgi-bin/cdsbib?1990RMxAA..21..381G" xr:uid="{00000000-0004-0000-0000-000009000000}"/>
    <hyperlink ref="AQ1712" r:id="rId11" display="http://cdsbib.u-strasbg.fr/cgi-bin/cdsbib?1990RMxAA..21..381G" xr:uid="{00000000-0004-0000-0000-00000A000000}"/>
    <hyperlink ref="H64721" r:id="rId12" display="https://www.aavso.org/ejaavso" xr:uid="{00000000-0004-0000-0000-00000B000000}"/>
    <hyperlink ref="H2562" r:id="rId13" display="http://vsolj.cetus-net.org/bulletin.html" xr:uid="{00000000-0004-0000-0000-00000C000000}"/>
    <hyperlink ref="AP5800" r:id="rId14" display="http://cdsbib.u-strasbg.fr/cgi-bin/cdsbib?1990RMxAA..21..381G" xr:uid="{00000000-0004-0000-0000-00000D000000}"/>
    <hyperlink ref="AP5803" r:id="rId15" display="http://cdsbib.u-strasbg.fr/cgi-bin/cdsbib?1990RMxAA..21..381G" xr:uid="{00000000-0004-0000-0000-00000E000000}"/>
    <hyperlink ref="AP5801" r:id="rId16" display="http://cdsbib.u-strasbg.fr/cgi-bin/cdsbib?1990RMxAA..21..381G" xr:uid="{00000000-0004-0000-0000-00000F000000}"/>
    <hyperlink ref="AP5779" r:id="rId17" display="http://cdsbib.u-strasbg.fr/cgi-bin/cdsbib?1990RMxAA..21..381G" xr:uid="{00000000-0004-0000-0000-000010000000}"/>
    <hyperlink ref="I2562" r:id="rId18" display="http://vsolj.cetus-net.org/bulletin.html" xr:uid="{00000000-0004-0000-0000-000011000000}"/>
    <hyperlink ref="AQ5913" r:id="rId19" display="http://cdsbib.u-strasbg.fr/cgi-bin/cdsbib?1990RMxAA..21..381G" xr:uid="{00000000-0004-0000-0000-000012000000}"/>
    <hyperlink ref="AQ465" r:id="rId20" display="http://cdsbib.u-strasbg.fr/cgi-bin/cdsbib?1990RMxAA..21..381G" xr:uid="{00000000-0004-0000-0000-000013000000}"/>
    <hyperlink ref="AQ591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3"/>
  <sheetViews>
    <sheetView topLeftCell="A2" workbookViewId="0">
      <selection activeCell="N30" sqref="N30"/>
    </sheetView>
  </sheetViews>
  <sheetFormatPr defaultRowHeight="12.75"/>
  <cols>
    <col min="1" max="1" width="19.7109375" style="8" customWidth="1"/>
    <col min="2" max="2" width="4.42578125" style="13" customWidth="1"/>
    <col min="3" max="3" width="12.7109375" style="8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8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5" t="s">
        <v>57</v>
      </c>
      <c r="I1" s="36" t="s">
        <v>58</v>
      </c>
      <c r="J1" s="37" t="s">
        <v>59</v>
      </c>
    </row>
    <row r="2" spans="1:16">
      <c r="I2" s="38" t="s">
        <v>60</v>
      </c>
      <c r="J2" s="39" t="s">
        <v>61</v>
      </c>
    </row>
    <row r="3" spans="1:16">
      <c r="A3" s="40" t="s">
        <v>62</v>
      </c>
      <c r="I3" s="38" t="s">
        <v>63</v>
      </c>
      <c r="J3" s="39" t="s">
        <v>64</v>
      </c>
    </row>
    <row r="4" spans="1:16">
      <c r="I4" s="38" t="s">
        <v>65</v>
      </c>
      <c r="J4" s="39" t="s">
        <v>64</v>
      </c>
    </row>
    <row r="5" spans="1:16" ht="13.5" thickBot="1">
      <c r="I5" s="41" t="s">
        <v>66</v>
      </c>
      <c r="J5" s="42" t="s">
        <v>67</v>
      </c>
    </row>
    <row r="10" spans="1:16" ht="13.5" thickBot="1"/>
    <row r="11" spans="1:16" ht="12.75" customHeight="1" thickBot="1">
      <c r="A11" s="8" t="str">
        <f t="shared" ref="A11:A24" si="0">P11</f>
        <v>BAVM 214 </v>
      </c>
      <c r="B11" s="3" t="str">
        <f t="shared" ref="B11:B24" si="1">IF(H11=INT(H11),"I","II")</f>
        <v>I</v>
      </c>
      <c r="C11" s="8">
        <f t="shared" ref="C11:C24" si="2">1*G11</f>
        <v>55294.396200000003</v>
      </c>
      <c r="D11" s="13" t="str">
        <f t="shared" ref="D11:D24" si="3">VLOOKUP(F11,I$1:J$5,2,FALSE)</f>
        <v>vis</v>
      </c>
      <c r="E11" s="43">
        <f>VLOOKUP(C11,Active!C$21:E$973,3,FALSE)</f>
        <v>4714.1963392151692</v>
      </c>
      <c r="F11" s="3" t="s">
        <v>66</v>
      </c>
      <c r="G11" s="13" t="str">
        <f t="shared" ref="G11:G24" si="4">MID(I11,3,LEN(I11)-3)</f>
        <v>55294.3962</v>
      </c>
      <c r="H11" s="8">
        <f t="shared" ref="H11:H24" si="5">1*K11</f>
        <v>4714</v>
      </c>
      <c r="I11" s="44" t="s">
        <v>68</v>
      </c>
      <c r="J11" s="45" t="s">
        <v>69</v>
      </c>
      <c r="K11" s="44">
        <v>4714</v>
      </c>
      <c r="L11" s="44" t="s">
        <v>70</v>
      </c>
      <c r="M11" s="45" t="s">
        <v>71</v>
      </c>
      <c r="N11" s="45" t="s">
        <v>66</v>
      </c>
      <c r="O11" s="46" t="s">
        <v>72</v>
      </c>
      <c r="P11" s="47" t="s">
        <v>73</v>
      </c>
    </row>
    <row r="12" spans="1:16" ht="12.75" customHeight="1" thickBot="1">
      <c r="A12" s="8" t="str">
        <f t="shared" si="0"/>
        <v>IBVS 5945 </v>
      </c>
      <c r="B12" s="3" t="str">
        <f t="shared" si="1"/>
        <v>I</v>
      </c>
      <c r="C12" s="8">
        <f t="shared" si="2"/>
        <v>55352.864000000001</v>
      </c>
      <c r="D12" s="13" t="str">
        <f t="shared" si="3"/>
        <v>vis</v>
      </c>
      <c r="E12" s="43">
        <f>VLOOKUP(C12,Active!C$21:E$973,3,FALSE)</f>
        <v>4824.1850521088045</v>
      </c>
      <c r="F12" s="3" t="s">
        <v>66</v>
      </c>
      <c r="G12" s="13" t="str">
        <f t="shared" si="4"/>
        <v>55352.864</v>
      </c>
      <c r="H12" s="8">
        <f t="shared" si="5"/>
        <v>4824</v>
      </c>
      <c r="I12" s="44" t="s">
        <v>74</v>
      </c>
      <c r="J12" s="45" t="s">
        <v>75</v>
      </c>
      <c r="K12" s="44">
        <v>4824</v>
      </c>
      <c r="L12" s="44" t="s">
        <v>76</v>
      </c>
      <c r="M12" s="45" t="s">
        <v>71</v>
      </c>
      <c r="N12" s="45" t="s">
        <v>66</v>
      </c>
      <c r="O12" s="46" t="s">
        <v>77</v>
      </c>
      <c r="P12" s="47" t="s">
        <v>78</v>
      </c>
    </row>
    <row r="13" spans="1:16" ht="12.75" customHeight="1" thickBot="1">
      <c r="A13" s="8" t="str">
        <f t="shared" si="0"/>
        <v>IBVS 5992 </v>
      </c>
      <c r="B13" s="3" t="str">
        <f t="shared" si="1"/>
        <v>I</v>
      </c>
      <c r="C13" s="8">
        <f t="shared" si="2"/>
        <v>55631.928800000002</v>
      </c>
      <c r="D13" s="13" t="str">
        <f t="shared" si="3"/>
        <v>vis</v>
      </c>
      <c r="E13" s="43">
        <f>VLOOKUP(C13,Active!C$21:E$973,3,FALSE)</f>
        <v>5349.1573986982175</v>
      </c>
      <c r="F13" s="3" t="s">
        <v>66</v>
      </c>
      <c r="G13" s="13" t="str">
        <f t="shared" si="4"/>
        <v>55631.9288</v>
      </c>
      <c r="H13" s="8">
        <f t="shared" si="5"/>
        <v>5349</v>
      </c>
      <c r="I13" s="44" t="s">
        <v>79</v>
      </c>
      <c r="J13" s="45" t="s">
        <v>80</v>
      </c>
      <c r="K13" s="44">
        <v>5349</v>
      </c>
      <c r="L13" s="44" t="s">
        <v>81</v>
      </c>
      <c r="M13" s="45" t="s">
        <v>71</v>
      </c>
      <c r="N13" s="45" t="s">
        <v>66</v>
      </c>
      <c r="O13" s="46" t="s">
        <v>77</v>
      </c>
      <c r="P13" s="47" t="s">
        <v>82</v>
      </c>
    </row>
    <row r="14" spans="1:16" ht="12.75" customHeight="1" thickBot="1">
      <c r="A14" s="8" t="str">
        <f t="shared" si="0"/>
        <v>OEJV 0160 </v>
      </c>
      <c r="B14" s="3" t="str">
        <f t="shared" si="1"/>
        <v>II</v>
      </c>
      <c r="C14" s="8">
        <f t="shared" si="2"/>
        <v>55687.474269999999</v>
      </c>
      <c r="D14" s="13" t="str">
        <f t="shared" si="3"/>
        <v>vis</v>
      </c>
      <c r="E14" s="43">
        <f>VLOOKUP(C14,Active!C$21:E$973,3,FALSE)</f>
        <v>5453.6486700026253</v>
      </c>
      <c r="F14" s="3" t="s">
        <v>66</v>
      </c>
      <c r="G14" s="13" t="str">
        <f t="shared" si="4"/>
        <v>55687.47427</v>
      </c>
      <c r="H14" s="8">
        <f t="shared" si="5"/>
        <v>5453.5</v>
      </c>
      <c r="I14" s="44" t="s">
        <v>83</v>
      </c>
      <c r="J14" s="45" t="s">
        <v>84</v>
      </c>
      <c r="K14" s="44">
        <v>5453.5</v>
      </c>
      <c r="L14" s="44" t="s">
        <v>85</v>
      </c>
      <c r="M14" s="45" t="s">
        <v>71</v>
      </c>
      <c r="N14" s="45" t="s">
        <v>86</v>
      </c>
      <c r="O14" s="46" t="s">
        <v>87</v>
      </c>
      <c r="P14" s="47" t="s">
        <v>88</v>
      </c>
    </row>
    <row r="15" spans="1:16" ht="12.75" customHeight="1" thickBot="1">
      <c r="A15" s="8" t="str">
        <f t="shared" si="0"/>
        <v>OEJV 0160 </v>
      </c>
      <c r="B15" s="3" t="str">
        <f t="shared" si="1"/>
        <v>II</v>
      </c>
      <c r="C15" s="8">
        <f t="shared" si="2"/>
        <v>55687.474670000003</v>
      </c>
      <c r="D15" s="13" t="str">
        <f t="shared" si="3"/>
        <v>vis</v>
      </c>
      <c r="E15" s="43">
        <f>VLOOKUP(C15,Active!C$21:E$973,3,FALSE)</f>
        <v>5453.6494224763919</v>
      </c>
      <c r="F15" s="3" t="s">
        <v>66</v>
      </c>
      <c r="G15" s="13" t="str">
        <f t="shared" si="4"/>
        <v>55687.47467</v>
      </c>
      <c r="H15" s="8">
        <f t="shared" si="5"/>
        <v>5453.5</v>
      </c>
      <c r="I15" s="44" t="s">
        <v>89</v>
      </c>
      <c r="J15" s="45" t="s">
        <v>90</v>
      </c>
      <c r="K15" s="44">
        <v>5453.5</v>
      </c>
      <c r="L15" s="44" t="s">
        <v>91</v>
      </c>
      <c r="M15" s="45" t="s">
        <v>71</v>
      </c>
      <c r="N15" s="45" t="s">
        <v>49</v>
      </c>
      <c r="O15" s="46" t="s">
        <v>87</v>
      </c>
      <c r="P15" s="47" t="s">
        <v>88</v>
      </c>
    </row>
    <row r="16" spans="1:16" ht="12.75" customHeight="1" thickBot="1">
      <c r="A16" s="8" t="str">
        <f t="shared" si="0"/>
        <v>OEJV 0160 </v>
      </c>
      <c r="B16" s="3" t="str">
        <f t="shared" si="1"/>
        <v>II</v>
      </c>
      <c r="C16" s="8">
        <f t="shared" si="2"/>
        <v>55687.47537</v>
      </c>
      <c r="D16" s="13" t="str">
        <f t="shared" si="3"/>
        <v>vis</v>
      </c>
      <c r="E16" s="43">
        <f>VLOOKUP(C16,Active!C$21:E$973,3,FALSE)</f>
        <v>5453.6507393054608</v>
      </c>
      <c r="F16" s="3" t="s">
        <v>66</v>
      </c>
      <c r="G16" s="13" t="str">
        <f t="shared" si="4"/>
        <v>55687.47537</v>
      </c>
      <c r="H16" s="8">
        <f t="shared" si="5"/>
        <v>5453.5</v>
      </c>
      <c r="I16" s="44" t="s">
        <v>92</v>
      </c>
      <c r="J16" s="45" t="s">
        <v>93</v>
      </c>
      <c r="K16" s="44">
        <v>5453.5</v>
      </c>
      <c r="L16" s="44" t="s">
        <v>94</v>
      </c>
      <c r="M16" s="45" t="s">
        <v>71</v>
      </c>
      <c r="N16" s="45" t="s">
        <v>66</v>
      </c>
      <c r="O16" s="46" t="s">
        <v>87</v>
      </c>
      <c r="P16" s="47" t="s">
        <v>88</v>
      </c>
    </row>
    <row r="17" spans="1:16" ht="12.75" customHeight="1" thickBot="1">
      <c r="A17" s="8" t="str">
        <f t="shared" si="0"/>
        <v>IBVS 6029 </v>
      </c>
      <c r="B17" s="3" t="str">
        <f t="shared" si="1"/>
        <v>I</v>
      </c>
      <c r="C17" s="8">
        <f t="shared" si="2"/>
        <v>56001.884599999998</v>
      </c>
      <c r="D17" s="13" t="str">
        <f t="shared" si="3"/>
        <v>vis</v>
      </c>
      <c r="E17" s="43">
        <f>VLOOKUP(C17,Active!C$21:E$973,3,FALSE)</f>
        <v>6045.1124760148887</v>
      </c>
      <c r="F17" s="3" t="s">
        <v>66</v>
      </c>
      <c r="G17" s="13" t="str">
        <f t="shared" si="4"/>
        <v>56001.8846</v>
      </c>
      <c r="H17" s="8">
        <f t="shared" si="5"/>
        <v>6045</v>
      </c>
      <c r="I17" s="44" t="s">
        <v>106</v>
      </c>
      <c r="J17" s="45" t="s">
        <v>107</v>
      </c>
      <c r="K17" s="44">
        <v>6045</v>
      </c>
      <c r="L17" s="44" t="s">
        <v>108</v>
      </c>
      <c r="M17" s="45" t="s">
        <v>71</v>
      </c>
      <c r="N17" s="45" t="s">
        <v>66</v>
      </c>
      <c r="O17" s="46" t="s">
        <v>77</v>
      </c>
      <c r="P17" s="47" t="s">
        <v>109</v>
      </c>
    </row>
    <row r="18" spans="1:16" ht="12.75" customHeight="1" thickBot="1">
      <c r="A18" s="8" t="str">
        <f t="shared" si="0"/>
        <v>OEJV 0160 </v>
      </c>
      <c r="B18" s="3" t="str">
        <f t="shared" si="1"/>
        <v>II</v>
      </c>
      <c r="C18" s="8">
        <f t="shared" si="2"/>
        <v>56056.366260000003</v>
      </c>
      <c r="D18" s="13" t="str">
        <f t="shared" si="3"/>
        <v>vis</v>
      </c>
      <c r="E18" s="43">
        <f>VLOOKUP(C18,Active!C$21:E$973,3,FALSE)</f>
        <v>6147.6025245494557</v>
      </c>
      <c r="F18" s="3" t="s">
        <v>66</v>
      </c>
      <c r="G18" s="13" t="str">
        <f t="shared" si="4"/>
        <v>56056.36626</v>
      </c>
      <c r="H18" s="8">
        <f t="shared" si="5"/>
        <v>6147.5</v>
      </c>
      <c r="I18" s="44" t="s">
        <v>110</v>
      </c>
      <c r="J18" s="45" t="s">
        <v>111</v>
      </c>
      <c r="K18" s="44">
        <v>6147.5</v>
      </c>
      <c r="L18" s="44" t="s">
        <v>112</v>
      </c>
      <c r="M18" s="45" t="s">
        <v>71</v>
      </c>
      <c r="N18" s="45" t="s">
        <v>58</v>
      </c>
      <c r="O18" s="46" t="s">
        <v>113</v>
      </c>
      <c r="P18" s="47" t="s">
        <v>88</v>
      </c>
    </row>
    <row r="19" spans="1:16" ht="12.75" customHeight="1" thickBot="1">
      <c r="A19" s="8" t="str">
        <f t="shared" si="0"/>
        <v>IBVS 6029 </v>
      </c>
      <c r="B19" s="3" t="str">
        <f t="shared" si="1"/>
        <v>I</v>
      </c>
      <c r="C19" s="8">
        <f t="shared" si="2"/>
        <v>56074.705499999996</v>
      </c>
      <c r="D19" s="13" t="str">
        <f t="shared" si="3"/>
        <v>vis</v>
      </c>
      <c r="E19" s="43">
        <f>VLOOKUP(C19,Active!C$21:E$973,3,FALSE)</f>
        <v>6182.1020166296576</v>
      </c>
      <c r="F19" s="3" t="s">
        <v>66</v>
      </c>
      <c r="G19" s="13" t="str">
        <f t="shared" si="4"/>
        <v>56074.7055</v>
      </c>
      <c r="H19" s="8">
        <f t="shared" si="5"/>
        <v>6182</v>
      </c>
      <c r="I19" s="44" t="s">
        <v>114</v>
      </c>
      <c r="J19" s="45" t="s">
        <v>115</v>
      </c>
      <c r="K19" s="44">
        <v>6182</v>
      </c>
      <c r="L19" s="44" t="s">
        <v>116</v>
      </c>
      <c r="M19" s="45" t="s">
        <v>71</v>
      </c>
      <c r="N19" s="45" t="s">
        <v>66</v>
      </c>
      <c r="O19" s="46" t="s">
        <v>77</v>
      </c>
      <c r="P19" s="47" t="s">
        <v>109</v>
      </c>
    </row>
    <row r="20" spans="1:16" ht="12.75" customHeight="1" thickBot="1">
      <c r="A20" s="8" t="str">
        <f t="shared" si="0"/>
        <v>BAVM 232 </v>
      </c>
      <c r="B20" s="3" t="str">
        <f t="shared" si="1"/>
        <v>II</v>
      </c>
      <c r="C20" s="8">
        <f t="shared" si="2"/>
        <v>56418.351900000001</v>
      </c>
      <c r="D20" s="13" t="str">
        <f t="shared" si="3"/>
        <v>vis</v>
      </c>
      <c r="E20" s="43">
        <f>VLOOKUP(C20,Active!C$21:E$973,3,FALSE)</f>
        <v>6828.5642612588854</v>
      </c>
      <c r="F20" s="3" t="s">
        <v>66</v>
      </c>
      <c r="G20" s="13" t="str">
        <f t="shared" si="4"/>
        <v>56418.3519</v>
      </c>
      <c r="H20" s="8">
        <f t="shared" si="5"/>
        <v>6828.5</v>
      </c>
      <c r="I20" s="44" t="s">
        <v>117</v>
      </c>
      <c r="J20" s="45" t="s">
        <v>118</v>
      </c>
      <c r="K20" s="44">
        <v>6828.5</v>
      </c>
      <c r="L20" s="44" t="s">
        <v>119</v>
      </c>
      <c r="M20" s="45" t="s">
        <v>71</v>
      </c>
      <c r="N20" s="45">
        <v>0</v>
      </c>
      <c r="O20" s="46" t="s">
        <v>72</v>
      </c>
      <c r="P20" s="47" t="s">
        <v>120</v>
      </c>
    </row>
    <row r="21" spans="1:16" ht="12.75" customHeight="1" thickBot="1">
      <c r="A21" s="8" t="str">
        <f t="shared" si="0"/>
        <v>BAVM 238 </v>
      </c>
      <c r="B21" s="3" t="str">
        <f t="shared" si="1"/>
        <v>II</v>
      </c>
      <c r="C21" s="8">
        <f t="shared" si="2"/>
        <v>56764.383000000002</v>
      </c>
      <c r="D21" s="13" t="str">
        <f t="shared" si="3"/>
        <v>vis</v>
      </c>
      <c r="E21" s="43">
        <f>VLOOKUP(C21,Active!C$21:E$973,3,FALSE)</f>
        <v>7479.5125663117469</v>
      </c>
      <c r="F21" s="3" t="s">
        <v>66</v>
      </c>
      <c r="G21" s="13" t="str">
        <f t="shared" si="4"/>
        <v>56764.3830</v>
      </c>
      <c r="H21" s="8">
        <f t="shared" si="5"/>
        <v>7479.5</v>
      </c>
      <c r="I21" s="44" t="s">
        <v>121</v>
      </c>
      <c r="J21" s="45" t="s">
        <v>122</v>
      </c>
      <c r="K21" s="44">
        <v>7479.5</v>
      </c>
      <c r="L21" s="44" t="s">
        <v>123</v>
      </c>
      <c r="M21" s="45" t="s">
        <v>71</v>
      </c>
      <c r="N21" s="45">
        <v>0</v>
      </c>
      <c r="O21" s="46" t="s">
        <v>72</v>
      </c>
      <c r="P21" s="47" t="s">
        <v>124</v>
      </c>
    </row>
    <row r="22" spans="1:16" ht="12.75" customHeight="1" thickBot="1">
      <c r="A22" s="8" t="str">
        <f t="shared" si="0"/>
        <v>VSB 53 </v>
      </c>
      <c r="B22" s="3" t="str">
        <f t="shared" si="1"/>
        <v>I</v>
      </c>
      <c r="C22" s="8">
        <f t="shared" si="2"/>
        <v>55698.370300000002</v>
      </c>
      <c r="D22" s="13" t="str">
        <f t="shared" si="3"/>
        <v>vis</v>
      </c>
      <c r="E22" s="43">
        <f>VLOOKUP(C22,Active!C$21:E$973,3,FALSE)</f>
        <v>5474.1461115918564</v>
      </c>
      <c r="F22" s="3" t="s">
        <v>66</v>
      </c>
      <c r="G22" s="13" t="str">
        <f t="shared" si="4"/>
        <v>55698.3703</v>
      </c>
      <c r="H22" s="8">
        <f t="shared" si="5"/>
        <v>5474</v>
      </c>
      <c r="I22" s="44" t="s">
        <v>95</v>
      </c>
      <c r="J22" s="45" t="s">
        <v>96</v>
      </c>
      <c r="K22" s="44">
        <v>5474</v>
      </c>
      <c r="L22" s="44" t="s">
        <v>97</v>
      </c>
      <c r="M22" s="45" t="s">
        <v>71</v>
      </c>
      <c r="N22" s="45" t="s">
        <v>66</v>
      </c>
      <c r="O22" s="46" t="s">
        <v>98</v>
      </c>
      <c r="P22" s="47" t="s">
        <v>99</v>
      </c>
    </row>
    <row r="23" spans="1:16" ht="12.75" customHeight="1" thickBot="1">
      <c r="A23" s="8" t="str">
        <f t="shared" si="0"/>
        <v>VSB 53 </v>
      </c>
      <c r="B23" s="3" t="str">
        <f t="shared" si="1"/>
        <v>II</v>
      </c>
      <c r="C23" s="8">
        <f t="shared" si="2"/>
        <v>55702.359700000001</v>
      </c>
      <c r="D23" s="13" t="str">
        <f t="shared" si="3"/>
        <v>vis</v>
      </c>
      <c r="E23" s="43">
        <f>VLOOKUP(C23,Active!C$21:E$973,3,FALSE)</f>
        <v>5481.6509086120577</v>
      </c>
      <c r="F23" s="3" t="s">
        <v>66</v>
      </c>
      <c r="G23" s="13" t="str">
        <f t="shared" si="4"/>
        <v>55702.3597</v>
      </c>
      <c r="H23" s="8">
        <f t="shared" si="5"/>
        <v>5481.5</v>
      </c>
      <c r="I23" s="44" t="s">
        <v>100</v>
      </c>
      <c r="J23" s="45" t="s">
        <v>101</v>
      </c>
      <c r="K23" s="44">
        <v>5481.5</v>
      </c>
      <c r="L23" s="44" t="s">
        <v>102</v>
      </c>
      <c r="M23" s="45" t="s">
        <v>71</v>
      </c>
      <c r="N23" s="45" t="s">
        <v>66</v>
      </c>
      <c r="O23" s="46" t="s">
        <v>98</v>
      </c>
      <c r="P23" s="47" t="s">
        <v>99</v>
      </c>
    </row>
    <row r="24" spans="1:16" ht="12.75" customHeight="1" thickBot="1">
      <c r="A24" s="8" t="str">
        <f t="shared" si="0"/>
        <v>VSB 53 </v>
      </c>
      <c r="B24" s="3" t="str">
        <f t="shared" si="1"/>
        <v>II</v>
      </c>
      <c r="C24" s="8">
        <f t="shared" si="2"/>
        <v>55711.394699999997</v>
      </c>
      <c r="D24" s="13" t="str">
        <f t="shared" si="3"/>
        <v>vis</v>
      </c>
      <c r="E24" s="43">
        <f>VLOOKUP(C24,Active!C$21:E$973,3,FALSE)</f>
        <v>5498.6474096090787</v>
      </c>
      <c r="F24" s="3" t="s">
        <v>66</v>
      </c>
      <c r="G24" s="13" t="str">
        <f t="shared" si="4"/>
        <v>55711.3947</v>
      </c>
      <c r="H24" s="8">
        <f t="shared" si="5"/>
        <v>5498.5</v>
      </c>
      <c r="I24" s="44" t="s">
        <v>103</v>
      </c>
      <c r="J24" s="45" t="s">
        <v>104</v>
      </c>
      <c r="K24" s="44">
        <v>5498.5</v>
      </c>
      <c r="L24" s="44" t="s">
        <v>105</v>
      </c>
      <c r="M24" s="45" t="s">
        <v>71</v>
      </c>
      <c r="N24" s="45" t="s">
        <v>66</v>
      </c>
      <c r="O24" s="46" t="s">
        <v>98</v>
      </c>
      <c r="P24" s="47" t="s">
        <v>99</v>
      </c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14" xr:uid="{00000000-0004-0000-0100-000001000000}"/>
    <hyperlink ref="P12" r:id="rId3" display="http://www.konkoly.hu/cgi-bin/IBVS?5945" xr:uid="{00000000-0004-0000-0100-000002000000}"/>
    <hyperlink ref="P13" r:id="rId4" display="http://www.konkoly.hu/cgi-bin/IBVS?5992" xr:uid="{00000000-0004-0000-0100-000003000000}"/>
    <hyperlink ref="P14" r:id="rId5" display="http://var.astro.cz/oejv/issues/oejv0160.pdf" xr:uid="{00000000-0004-0000-0100-000004000000}"/>
    <hyperlink ref="P15" r:id="rId6" display="http://var.astro.cz/oejv/issues/oejv0160.pdf" xr:uid="{00000000-0004-0000-0100-000005000000}"/>
    <hyperlink ref="P16" r:id="rId7" display="http://var.astro.cz/oejv/issues/oejv0160.pdf" xr:uid="{00000000-0004-0000-0100-000006000000}"/>
    <hyperlink ref="P22" r:id="rId8" display="http://vsolj.cetus-net.org/vsoljno53.pdf" xr:uid="{00000000-0004-0000-0100-000007000000}"/>
    <hyperlink ref="P23" r:id="rId9" display="http://vsolj.cetus-net.org/vsoljno53.pdf" xr:uid="{00000000-0004-0000-0100-000008000000}"/>
    <hyperlink ref="P24" r:id="rId10" display="http://vsolj.cetus-net.org/vsoljno53.pdf" xr:uid="{00000000-0004-0000-0100-000009000000}"/>
    <hyperlink ref="P17" r:id="rId11" display="http://www.konkoly.hu/cgi-bin/IBVS?6029" xr:uid="{00000000-0004-0000-0100-00000A000000}"/>
    <hyperlink ref="P18" r:id="rId12" display="http://var.astro.cz/oejv/issues/oejv0160.pdf" xr:uid="{00000000-0004-0000-0100-00000B000000}"/>
    <hyperlink ref="P19" r:id="rId13" display="http://www.konkoly.hu/cgi-bin/IBVS?6029" xr:uid="{00000000-0004-0000-0100-00000C000000}"/>
    <hyperlink ref="P20" r:id="rId14" display="http://www.bav-astro.de/sfs/BAVM_link.php?BAVMnr=232" xr:uid="{00000000-0004-0000-0100-00000D000000}"/>
    <hyperlink ref="P21" r:id="rId15" display="http://www.bav-astro.de/sfs/BAVM_link.php?BAVMnr=238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2023-01-26T05:43:41Z</dcterms:modified>
</cp:coreProperties>
</file>