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E74735A-050E-4A13-ABAD-2EE0731DA37B}" xr6:coauthVersionLast="47" xr6:coauthVersionMax="47" xr10:uidLastSave="{00000000-0000-0000-0000-000000000000}"/>
  <bookViews>
    <workbookView xWindow="13920" yWindow="900" windowWidth="13275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8" i="1" l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46" i="1"/>
  <c r="F46" i="1" s="1"/>
  <c r="G46" i="1" s="1"/>
  <c r="K46" i="1" s="1"/>
  <c r="Q46" i="1"/>
  <c r="E47" i="1"/>
  <c r="F47" i="1" s="1"/>
  <c r="G47" i="1" s="1"/>
  <c r="K47" i="1" s="1"/>
  <c r="Q47" i="1"/>
  <c r="E22" i="1"/>
  <c r="F22" i="1"/>
  <c r="G22" i="1"/>
  <c r="I22" i="1" s="1"/>
  <c r="E24" i="1"/>
  <c r="F24" i="1" s="1"/>
  <c r="G24" i="1" s="1"/>
  <c r="I24" i="1" s="1"/>
  <c r="E25" i="1"/>
  <c r="E33" i="2"/>
  <c r="F25" i="1"/>
  <c r="G25" i="1" s="1"/>
  <c r="I25" i="1" s="1"/>
  <c r="E37" i="1"/>
  <c r="E21" i="2" s="1"/>
  <c r="F37" i="1"/>
  <c r="G37" i="1" s="1"/>
  <c r="I37" i="1" s="1"/>
  <c r="E38" i="1"/>
  <c r="F38" i="1" s="1"/>
  <c r="G38" i="1" s="1"/>
  <c r="I38" i="1" s="1"/>
  <c r="E29" i="1"/>
  <c r="E13" i="2" s="1"/>
  <c r="F29" i="1"/>
  <c r="G29" i="1" s="1"/>
  <c r="I29" i="1" s="1"/>
  <c r="E30" i="1"/>
  <c r="F30" i="1" s="1"/>
  <c r="G30" i="1" s="1"/>
  <c r="I30" i="1" s="1"/>
  <c r="E31" i="1"/>
  <c r="F31" i="1" s="1"/>
  <c r="G31" i="1" s="1"/>
  <c r="I31" i="1" s="1"/>
  <c r="E32" i="1"/>
  <c r="F32" i="1"/>
  <c r="G32" i="1" s="1"/>
  <c r="I32" i="1" s="1"/>
  <c r="E26" i="1"/>
  <c r="F26" i="1" s="1"/>
  <c r="G26" i="1" s="1"/>
  <c r="J26" i="1" s="1"/>
  <c r="E39" i="1"/>
  <c r="E23" i="2"/>
  <c r="E42" i="1"/>
  <c r="F42" i="1"/>
  <c r="G42" i="1" s="1"/>
  <c r="J42" i="1" s="1"/>
  <c r="E41" i="1"/>
  <c r="E24" i="2" s="1"/>
  <c r="E44" i="1"/>
  <c r="E27" i="2" s="1"/>
  <c r="F44" i="1"/>
  <c r="G44" i="1"/>
  <c r="J44" i="1" s="1"/>
  <c r="E45" i="1"/>
  <c r="F45" i="1"/>
  <c r="E36" i="1"/>
  <c r="F36" i="1"/>
  <c r="E33" i="1"/>
  <c r="F33" i="1"/>
  <c r="G33" i="1" s="1"/>
  <c r="I33" i="1" s="1"/>
  <c r="E34" i="1"/>
  <c r="E18" i="2" s="1"/>
  <c r="D9" i="1"/>
  <c r="C9" i="1"/>
  <c r="Q21" i="1"/>
  <c r="Q22" i="1"/>
  <c r="Q23" i="1"/>
  <c r="Q24" i="1"/>
  <c r="Q25" i="1"/>
  <c r="Q40" i="1"/>
  <c r="G28" i="2"/>
  <c r="C28" i="2"/>
  <c r="E28" i="2"/>
  <c r="C7" i="1"/>
  <c r="C8" i="1"/>
  <c r="G27" i="2"/>
  <c r="C27" i="2"/>
  <c r="G26" i="2"/>
  <c r="C26" i="2"/>
  <c r="G25" i="2"/>
  <c r="C25" i="2"/>
  <c r="E25" i="2"/>
  <c r="G24" i="2"/>
  <c r="C24" i="2"/>
  <c r="G34" i="2"/>
  <c r="C34" i="2"/>
  <c r="G23" i="2"/>
  <c r="C23" i="2"/>
  <c r="G22" i="2"/>
  <c r="C22" i="2"/>
  <c r="E22" i="2"/>
  <c r="G21" i="2"/>
  <c r="C21" i="2"/>
  <c r="G20" i="2"/>
  <c r="C20" i="2"/>
  <c r="E20" i="2"/>
  <c r="G19" i="2"/>
  <c r="C19" i="2"/>
  <c r="G18" i="2"/>
  <c r="C18" i="2"/>
  <c r="G17" i="2"/>
  <c r="C17" i="2"/>
  <c r="E17" i="2"/>
  <c r="G16" i="2"/>
  <c r="C16" i="2"/>
  <c r="E16" i="2"/>
  <c r="G15" i="2"/>
  <c r="C15" i="2"/>
  <c r="G14" i="2"/>
  <c r="C14" i="2"/>
  <c r="G13" i="2"/>
  <c r="C13" i="2"/>
  <c r="G12" i="2"/>
  <c r="C12" i="2"/>
  <c r="G11" i="2"/>
  <c r="C11" i="2"/>
  <c r="E11" i="2"/>
  <c r="G33" i="2"/>
  <c r="C33" i="2"/>
  <c r="G32" i="2"/>
  <c r="C32" i="2"/>
  <c r="G31" i="2"/>
  <c r="C31" i="2"/>
  <c r="G30" i="2"/>
  <c r="C30" i="2"/>
  <c r="E30" i="2"/>
  <c r="G29" i="2"/>
  <c r="C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34" i="2"/>
  <c r="D34" i="2"/>
  <c r="B34" i="2"/>
  <c r="A3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33" i="2"/>
  <c r="D33" i="2"/>
  <c r="B33" i="2"/>
  <c r="A33" i="2"/>
  <c r="H32" i="2"/>
  <c r="D32" i="2"/>
  <c r="B32" i="2"/>
  <c r="A32" i="2"/>
  <c r="H31" i="2"/>
  <c r="D31" i="2"/>
  <c r="B31" i="2"/>
  <c r="A31" i="2"/>
  <c r="H30" i="2"/>
  <c r="D30" i="2"/>
  <c r="B30" i="2"/>
  <c r="A30" i="2"/>
  <c r="H29" i="2"/>
  <c r="D29" i="2"/>
  <c r="B29" i="2"/>
  <c r="A29" i="2"/>
  <c r="Q45" i="1"/>
  <c r="Q44" i="1"/>
  <c r="F16" i="1"/>
  <c r="F17" i="1" s="1"/>
  <c r="C17" i="1"/>
  <c r="Q43" i="1"/>
  <c r="Q42" i="1"/>
  <c r="Q41" i="1"/>
  <c r="Q26" i="1"/>
  <c r="Q39" i="1"/>
  <c r="Q27" i="1"/>
  <c r="Q29" i="1"/>
  <c r="Q30" i="1"/>
  <c r="Q31" i="1"/>
  <c r="Q32" i="1"/>
  <c r="Q33" i="1"/>
  <c r="Q34" i="1"/>
  <c r="Q35" i="1"/>
  <c r="Q36" i="1"/>
  <c r="Q37" i="1"/>
  <c r="Q38" i="1"/>
  <c r="Q28" i="1"/>
  <c r="E34" i="2"/>
  <c r="E26" i="2"/>
  <c r="G45" i="1"/>
  <c r="J45" i="1"/>
  <c r="E43" i="1"/>
  <c r="F43" i="1"/>
  <c r="G43" i="1" s="1"/>
  <c r="J43" i="1" s="1"/>
  <c r="F39" i="1"/>
  <c r="G39" i="1" s="1"/>
  <c r="K39" i="1" s="1"/>
  <c r="E27" i="1"/>
  <c r="F27" i="1" s="1"/>
  <c r="G27" i="1" s="1"/>
  <c r="I27" i="1" s="1"/>
  <c r="E23" i="1"/>
  <c r="F23" i="1"/>
  <c r="G23" i="1"/>
  <c r="I23" i="1" s="1"/>
  <c r="G36" i="1"/>
  <c r="I36" i="1"/>
  <c r="E35" i="1"/>
  <c r="E19" i="2" s="1"/>
  <c r="F35" i="1"/>
  <c r="G35" i="1"/>
  <c r="E28" i="1"/>
  <c r="F28" i="1"/>
  <c r="G28" i="1"/>
  <c r="I28" i="1"/>
  <c r="E40" i="1"/>
  <c r="F40" i="1"/>
  <c r="G40" i="1" s="1"/>
  <c r="K40" i="1" s="1"/>
  <c r="E21" i="1"/>
  <c r="F21" i="1" s="1"/>
  <c r="G21" i="1" s="1"/>
  <c r="I21" i="1" s="1"/>
  <c r="I35" i="1"/>
  <c r="E29" i="2"/>
  <c r="E31" i="2"/>
  <c r="E14" i="2" l="1"/>
  <c r="E12" i="2"/>
  <c r="E32" i="2"/>
  <c r="E15" i="2"/>
  <c r="F41" i="1"/>
  <c r="G41" i="1" s="1"/>
  <c r="J41" i="1" s="1"/>
  <c r="F34" i="1"/>
  <c r="G34" i="1" s="1"/>
  <c r="C11" i="1"/>
  <c r="C12" i="1"/>
  <c r="O50" i="1" l="1"/>
  <c r="O54" i="1"/>
  <c r="O58" i="1"/>
  <c r="O62" i="1"/>
  <c r="O66" i="1"/>
  <c r="O49" i="1"/>
  <c r="O53" i="1"/>
  <c r="O57" i="1"/>
  <c r="O61" i="1"/>
  <c r="O65" i="1"/>
  <c r="O48" i="1"/>
  <c r="O52" i="1"/>
  <c r="O56" i="1"/>
  <c r="O60" i="1"/>
  <c r="O64" i="1"/>
  <c r="O63" i="1"/>
  <c r="O67" i="1"/>
  <c r="O51" i="1"/>
  <c r="O55" i="1"/>
  <c r="O59" i="1"/>
  <c r="C16" i="1"/>
  <c r="D18" i="1" s="1"/>
  <c r="O26" i="1"/>
  <c r="O31" i="1"/>
  <c r="O34" i="1"/>
  <c r="C15" i="1"/>
  <c r="C18" i="1" s="1"/>
  <c r="O29" i="1"/>
  <c r="O37" i="1"/>
  <c r="O41" i="1"/>
  <c r="O21" i="1"/>
  <c r="O39" i="1"/>
  <c r="O27" i="1"/>
  <c r="O30" i="1"/>
  <c r="O44" i="1"/>
  <c r="O40" i="1"/>
  <c r="O45" i="1"/>
  <c r="O42" i="1"/>
  <c r="O36" i="1"/>
  <c r="O35" i="1"/>
  <c r="O43" i="1"/>
  <c r="O32" i="1"/>
  <c r="O22" i="1"/>
  <c r="O47" i="1"/>
  <c r="O46" i="1"/>
  <c r="O33" i="1"/>
  <c r="O28" i="1"/>
  <c r="O25" i="1"/>
  <c r="O38" i="1"/>
  <c r="O23" i="1"/>
  <c r="O24" i="1"/>
  <c r="I34" i="1"/>
  <c r="F18" i="1" l="1"/>
  <c r="F19" i="1" s="1"/>
</calcChain>
</file>

<file path=xl/sharedStrings.xml><?xml version="1.0" encoding="utf-8"?>
<sst xmlns="http://schemas.openxmlformats.org/spreadsheetml/2006/main" count="372" uniqueCount="189">
  <si>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</si>
  <si>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</si>
  <si>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</si>
  <si>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</si>
  <si>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</si>
  <si>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</si>
  <si>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</si>
  <si>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</si>
  <si>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</si>
  <si>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</si>
  <si>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</si>
  <si>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</si>
  <si>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</si>
  <si>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</si>
  <si>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</si>
  <si>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</si>
  <si>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</si>
  <si>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</si>
  <si>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</si>
  <si>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</si>
  <si>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</si>
  <si>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</si>
  <si>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</si>
  <si>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</si>
  <si>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</si>
  <si>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</si>
  <si>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</si>
  <si>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</si>
  <si>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</si>
  <si>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Bull.9</t>
  </si>
  <si>
    <t>B</t>
  </si>
  <si>
    <t>Diethelm R</t>
  </si>
  <si>
    <t>BBSAG Bull.23</t>
  </si>
  <si>
    <t>BBSAG Bull.37</t>
  </si>
  <si>
    <t>Brno 30</t>
  </si>
  <si>
    <t>K</t>
  </si>
  <si>
    <t>Brno 31</t>
  </si>
  <si>
    <t>Peter H</t>
  </si>
  <si>
    <t>BBSAG Bull.98</t>
  </si>
  <si>
    <t>BBSAG Bull.101</t>
  </si>
  <si>
    <t>BBSAG Bull.104</t>
  </si>
  <si>
    <t>Paschke A</t>
  </si>
  <si>
    <t>BBSAG Bull.105</t>
  </si>
  <si>
    <t>BBSAG Bull.118</t>
  </si>
  <si>
    <t>IBVS 5543</t>
  </si>
  <si>
    <t>I</t>
  </si>
  <si>
    <t>IBVS 0035</t>
  </si>
  <si>
    <t># of data points:</t>
  </si>
  <si>
    <t>YY Boo / GSC 03059-00813</t>
  </si>
  <si>
    <t>EA/SD</t>
  </si>
  <si>
    <t>IBVS 5731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</si>
  <si>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</si>
  <si>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</si>
  <si>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</si>
  <si>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</si>
  <si>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</si>
  <si>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</si>
  <si>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</si>
  <si>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</si>
  <si>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</si>
  <si>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</si>
  <si>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IBVS 5959</t>
  </si>
  <si>
    <t>IBVS 6149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</si>
  <si>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</si>
  <si>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</si>
  <si>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</si>
  <si>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</si>
  <si>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</si>
  <si>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</si>
  <si>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</si>
  <si>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</si>
  <si>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</si>
  <si>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</si>
  <si>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</si>
  <si>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</si>
  <si>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F </t>
  </si>
  <si>
    <t>2417354.398 </t>
  </si>
  <si>
    <t> 23.05.1906 21:33 </t>
  </si>
  <si>
    <t> -0.116 </t>
  </si>
  <si>
    <t> W.Zessewitsch </t>
  </si>
  <si>
    <t> AC 189.15 </t>
  </si>
  <si>
    <t>2417704.432 </t>
  </si>
  <si>
    <t> 08.05.1907 22:22 </t>
  </si>
  <si>
    <t> -0.126 </t>
  </si>
  <si>
    <t>2436040.50 </t>
  </si>
  <si>
    <t> 21.07.1957 00:00 </t>
  </si>
  <si>
    <t> -0.03 </t>
  </si>
  <si>
    <t>V </t>
  </si>
  <si>
    <t> AC 184.22 </t>
  </si>
  <si>
    <t>2436048.38 </t>
  </si>
  <si>
    <t> 28.07.1957 21:07 </t>
  </si>
  <si>
    <t> -0.02 </t>
  </si>
  <si>
    <t>2436052.33 </t>
  </si>
  <si>
    <t> 01.08.1957 19:55 </t>
  </si>
  <si>
    <t> 0.00 </t>
  </si>
  <si>
    <t>2438290.270 </t>
  </si>
  <si>
    <t> 17.09.1963 18:28 </t>
  </si>
  <si>
    <t> 0.024 </t>
  </si>
  <si>
    <t> K.Kordylewski </t>
  </si>
  <si>
    <t>IBVS 35 </t>
  </si>
  <si>
    <t>2441806.410 </t>
  </si>
  <si>
    <t> 03.05.1973 21:50 </t>
  </si>
  <si>
    <t> -0.001 </t>
  </si>
  <si>
    <t> K.Locher </t>
  </si>
  <si>
    <t> BBS 9 </t>
  </si>
  <si>
    <t>2442628.419 </t>
  </si>
  <si>
    <t> 03.08.1975 22:03 </t>
  </si>
  <si>
    <t> R.Diethelm </t>
  </si>
  <si>
    <t> BBS 23 </t>
  </si>
  <si>
    <t>2443623.510 </t>
  </si>
  <si>
    <t> 25.04.1978 00:14 </t>
  </si>
  <si>
    <t> 0.021 </t>
  </si>
  <si>
    <t>2447387.433 </t>
  </si>
  <si>
    <t> 13.08.1988 22:23 </t>
  </si>
  <si>
    <t> -0.004 </t>
  </si>
  <si>
    <t> P.Novak </t>
  </si>
  <si>
    <t> BRNO 30 </t>
  </si>
  <si>
    <t>2447969.525 </t>
  </si>
  <si>
    <t> 19.03.1990 00:36 </t>
  </si>
  <si>
    <t> -0.006 </t>
  </si>
  <si>
    <t> A.Dedoch </t>
  </si>
  <si>
    <t> BRNO 31 </t>
  </si>
  <si>
    <t>2448390.429 </t>
  </si>
  <si>
    <t> 13.05.1991 22:17 </t>
  </si>
  <si>
    <t> 0.059 </t>
  </si>
  <si>
    <t> H.Peter </t>
  </si>
  <si>
    <t> BBS 98 </t>
  </si>
  <si>
    <t>2448449.403 </t>
  </si>
  <si>
    <t> 11.07.1991 21:40 </t>
  </si>
  <si>
    <t> 0.037 </t>
  </si>
  <si>
    <t>2448803.402 </t>
  </si>
  <si>
    <t> 29.06.1992 21:38 </t>
  </si>
  <si>
    <t> 0.060 </t>
  </si>
  <si>
    <t> BBS 101 </t>
  </si>
  <si>
    <t>2449098.370 </t>
  </si>
  <si>
    <t> 20.04.1993 20:52 </t>
  </si>
  <si>
    <t> 0.048 </t>
  </si>
  <si>
    <t> BBS 104 </t>
  </si>
  <si>
    <t>2449212.38 </t>
  </si>
  <si>
    <t> 12.08.1993 21:07 </t>
  </si>
  <si>
    <t> -0.00 </t>
  </si>
  <si>
    <t>E </t>
  </si>
  <si>
    <t>?</t>
  </si>
  <si>
    <t> A.Paschke </t>
  </si>
  <si>
    <t> BBS 105 </t>
  </si>
  <si>
    <t>2450844.591 </t>
  </si>
  <si>
    <t> 31.01.1998 02:11 </t>
  </si>
  <si>
    <t> -0.015 </t>
  </si>
  <si>
    <t> BBS 118 </t>
  </si>
  <si>
    <t>2453145.459 </t>
  </si>
  <si>
    <t> 19.05.2004 23:00 </t>
  </si>
  <si>
    <t> 0.008 </t>
  </si>
  <si>
    <t> BBS 130 </t>
  </si>
  <si>
    <t>2453456.1734 </t>
  </si>
  <si>
    <t> 26.03.2005 16:09 </t>
  </si>
  <si>
    <t> 0.0094 </t>
  </si>
  <si>
    <t> Nakajima </t>
  </si>
  <si>
    <t>VSB 44 </t>
  </si>
  <si>
    <t>2453849.4673 </t>
  </si>
  <si>
    <t> 23.04.2006 23:12 </t>
  </si>
  <si>
    <t> -0.0037 </t>
  </si>
  <si>
    <t>C </t>
  </si>
  <si>
    <t>-I</t>
  </si>
  <si>
    <t> Agerer </t>
  </si>
  <si>
    <t>BAVM 178 </t>
  </si>
  <si>
    <t>2453849.4686 </t>
  </si>
  <si>
    <t> 23.04.2006 23:14 </t>
  </si>
  <si>
    <t>343</t>
  </si>
  <si>
    <t> -0.0024 </t>
  </si>
  <si>
    <t>IBVS 5713 </t>
  </si>
  <si>
    <t>2454203.4437 </t>
  </si>
  <si>
    <t> 12.04.2007 22:38 </t>
  </si>
  <si>
    <t>433</t>
  </si>
  <si>
    <t> -0.0036 </t>
  </si>
  <si>
    <t> F.Agerer </t>
  </si>
  <si>
    <t>BAVM 186 </t>
  </si>
  <si>
    <t>2455316.5096 </t>
  </si>
  <si>
    <t> 30.04.2010 00:13 </t>
  </si>
  <si>
    <t>716</t>
  </si>
  <si>
    <t> 0.0035 </t>
  </si>
  <si>
    <t>BAVM 214 </t>
  </si>
  <si>
    <t>2456728.4899 </t>
  </si>
  <si>
    <t> 11.03.2014 23:45 </t>
  </si>
  <si>
    <t>1075</t>
  </si>
  <si>
    <t> 0.0117 </t>
  </si>
  <si>
    <t>BAVM 238 </t>
  </si>
  <si>
    <t>BAD?</t>
  </si>
  <si>
    <t>JBAV, 60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</si>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</sst>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6" fillId="0" borderId="0" xfId="0" applyFo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9" fillId="2" borderId="12" xfId="7" applyFill="1" applyBorder="1" applyAlignment="1" applyProtection="1">
      <alignment horizontal="right" vertical="top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4" xfId="0" applyFont="1" applyBorder="1" applyAlignment="1">
      <alignment horizont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5" fontId="22" fillId="0" borderId="0" xfId="0" applyNumberFormat="1" applyFont="1" applyAlignment="1">
      <alignment vertical="center" wrapText="1"/>
    </xf>
    <xf numFmtId="165" fontId="22" fillId="0" borderId="0" xfId="0" applyNumberFormat="1" applyFont="1" applyAlignment="1" applyProtection="1">
      <alignment vertical="center" wrapText="1"/>
      <protection locked="0"/>
    </xf>
    <xf numFmtId="165" fontId="0" fillId="0" borderId="0" xfId="0" applyNumberFormat="1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YY Boo - O-C Diagr.</a:t>
            </a:r>
          </a:p>
        </c:rich>
      </c:tx>
      <c:layout>
        <c:manualLayout>
          <c:xMode val="edge"/>
          <c:yMode val="edge"/>
          <c:x val="0.38271669744985576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0267379598554"/>
          <c:y val="0.14769252958613219"/>
          <c:w val="0.81790246718036741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Active!$H$21:$H$989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EE-4E15-9B7B-2571A163CC1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plus>
            <c:minus>
              <c:numRef>
                <c:f>Active!$D$21:$D$989</c:f>
                <c:numCache>
                  <c:formatCode>General</c:formatCode>
                  <c:ptCount val="9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Active!$I$21:$I$989</c:f>
              <c:numCache>
                <c:formatCode>General</c:formatCode>
                <c:ptCount val="969"/>
                <c:pt idx="0">
                  <c:v>6.3980000049923547E-3</c:v>
                </c:pt>
                <c:pt idx="1">
                  <c:v>-4.9679999974614475E-3</c:v>
                </c:pt>
                <c:pt idx="2">
                  <c:v>-2.1196000001509674E-2</c:v>
                </c:pt>
                <c:pt idx="3">
                  <c:v>-7.3840000040945597E-3</c:v>
                </c:pt>
                <c:pt idx="4">
                  <c:v>9.522000007564202E-3</c:v>
                </c:pt>
                <c:pt idx="6">
                  <c:v>-2.6999999994586688E-2</c:v>
                </c:pt>
                <c:pt idx="7">
                  <c:v>0</c:v>
                </c:pt>
                <c:pt idx="8">
                  <c:v>-3.4645999992790166E-2</c:v>
                </c:pt>
                <c:pt idx="9">
                  <c:v>-1.6427999995357823E-2</c:v>
                </c:pt>
                <c:pt idx="10">
                  <c:v>-6.4385999998194166E-2</c:v>
                </c:pt>
                <c:pt idx="11">
                  <c:v>-7.029799999872921E-2</c:v>
                </c:pt>
                <c:pt idx="12">
                  <c:v>-7.3560000018915161E-3</c:v>
                </c:pt>
                <c:pt idx="13">
                  <c:v>-2.9765999999654014E-2</c:v>
                </c:pt>
                <c:pt idx="14">
                  <c:v>-9.2259999946691096E-3</c:v>
                </c:pt>
                <c:pt idx="15">
                  <c:v>-2.32759999926202E-2</c:v>
                </c:pt>
                <c:pt idx="16">
                  <c:v>-7.3001999997359235E-2</c:v>
                </c:pt>
                <c:pt idx="17">
                  <c:v>-9.6011999994516373E-2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EE-4E15-9B7B-2571A163CC1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Active!$D$21:$D$40</c:f>
                <c:numCache>
                  <c:formatCode>General</c:formatCode>
                  <c:ptCount val="20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Active!$J$21:$J$989</c:f>
              <c:numCache>
                <c:formatCode>General</c:formatCode>
                <c:ptCount val="969"/>
                <c:pt idx="5">
                  <c:v>1.9035999997868203E-2</c:v>
                </c:pt>
                <c:pt idx="20">
                  <c:v>-0.10352799999964191</c:v>
                </c:pt>
                <c:pt idx="21">
                  <c:v>-0.10222799999610288</c:v>
                </c:pt>
                <c:pt idx="22">
                  <c:v>-0.10558799999125767</c:v>
                </c:pt>
                <c:pt idx="23">
                  <c:v>-0.10528999999951338</c:v>
                </c:pt>
                <c:pt idx="24">
                  <c:v>-0.10573599999770522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EE-4E15-9B7B-2571A163CC1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Active!$K$21:$K$989</c:f>
              <c:numCache>
                <c:formatCode>General</c:formatCode>
                <c:ptCount val="969"/>
                <c:pt idx="18">
                  <c:v>-8.8001999996777158E-2</c:v>
                </c:pt>
                <c:pt idx="19">
                  <c:v>-8.802799999830313E-2</c:v>
                </c:pt>
                <c:pt idx="25">
                  <c:v>-0.46012999999220483</c:v>
                </c:pt>
                <c:pt idx="26">
                  <c:v>-0.39752999999473104</c:v>
                </c:pt>
                <c:pt idx="27">
                  <c:v>0.94255700000212528</c:v>
                </c:pt>
                <c:pt idx="28">
                  <c:v>-0.96158999999170192</c:v>
                </c:pt>
                <c:pt idx="29">
                  <c:v>0.67918200000713114</c:v>
                </c:pt>
                <c:pt idx="30">
                  <c:v>0.74248200000874931</c:v>
                </c:pt>
                <c:pt idx="31">
                  <c:v>0.80498200000874931</c:v>
                </c:pt>
                <c:pt idx="32">
                  <c:v>0.25274799999897368</c:v>
                </c:pt>
                <c:pt idx="33">
                  <c:v>0.3130479999963427</c:v>
                </c:pt>
                <c:pt idx="34">
                  <c:v>0.37534800000139512</c:v>
                </c:pt>
                <c:pt idx="35">
                  <c:v>0.43554800000129035</c:v>
                </c:pt>
                <c:pt idx="36">
                  <c:v>0.49884799999563256</c:v>
                </c:pt>
                <c:pt idx="37">
                  <c:v>0.67408399999840185</c:v>
                </c:pt>
                <c:pt idx="38">
                  <c:v>0.73848400000133552</c:v>
                </c:pt>
                <c:pt idx="39">
                  <c:v>-0.71630899999581743</c:v>
                </c:pt>
                <c:pt idx="40">
                  <c:v>-0.63196099999913713</c:v>
                </c:pt>
                <c:pt idx="41">
                  <c:v>-0.56796099999337457</c:v>
                </c:pt>
                <c:pt idx="42">
                  <c:v>0.49735900000086986</c:v>
                </c:pt>
                <c:pt idx="43">
                  <c:v>0.55985900000086986</c:v>
                </c:pt>
                <c:pt idx="44">
                  <c:v>0.62045900000521215</c:v>
                </c:pt>
                <c:pt idx="45">
                  <c:v>0.68115900000702823</c:v>
                </c:pt>
                <c:pt idx="46">
                  <c:v>0.74545900000521215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EE-4E15-9B7B-2571A163CC1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Active!$L$21:$L$989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EE-4E15-9B7B-2571A163CC1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Active!$M$21:$M$989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EE-4E15-9B7B-2571A163CC1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plus>
            <c:minus>
              <c:numRef>
                <c:f>Active!$D$21:$D$89</c:f>
                <c:numCache>
                  <c:formatCode>General</c:formatCode>
                  <c:ptCount val="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7">
                    <c:v>0</c:v>
                  </c:pt>
                  <c:pt idx="12">
                    <c:v>3.0000000000000001E-3</c:v>
                  </c:pt>
                  <c:pt idx="13">
                    <c:v>6.0000000000000001E-3</c:v>
                  </c:pt>
                  <c:pt idx="14">
                    <c:v>5.0000000000000001E-3</c:v>
                  </c:pt>
                  <c:pt idx="15">
                    <c:v>7.0000000000000001E-3</c:v>
                  </c:pt>
                  <c:pt idx="16">
                    <c:v>0.01</c:v>
                  </c:pt>
                  <c:pt idx="17">
                    <c:v>8.0000000000000002E-3</c:v>
                  </c:pt>
                  <c:pt idx="18">
                    <c:v>5.0000000000000001E-3</c:v>
                  </c:pt>
                  <c:pt idx="19">
                    <c:v>0</c:v>
                  </c:pt>
                  <c:pt idx="20">
                    <c:v>2E-3</c:v>
                  </c:pt>
                  <c:pt idx="21">
                    <c:v>4.0000000000000002E-4</c:v>
                  </c:pt>
                  <c:pt idx="22">
                    <c:v>8.9999999999999998E-4</c:v>
                  </c:pt>
                  <c:pt idx="23">
                    <c:v>3.8E-3</c:v>
                  </c:pt>
                  <c:pt idx="24">
                    <c:v>2.0999999999999999E-3</c:v>
                  </c:pt>
                  <c:pt idx="25">
                    <c:v>4.8999999999999998E-3</c:v>
                  </c:pt>
                  <c:pt idx="26">
                    <c:v>4.8999999999999998E-3</c:v>
                  </c:pt>
                  <c:pt idx="27">
                    <c:v>4.8999999999999998E-3</c:v>
                  </c:pt>
                  <c:pt idx="28">
                    <c:v>4.8999999999999998E-3</c:v>
                  </c:pt>
                  <c:pt idx="29">
                    <c:v>4.8999999999999998E-3</c:v>
                  </c:pt>
                  <c:pt idx="30">
                    <c:v>4.8999999999999998E-3</c:v>
                  </c:pt>
                  <c:pt idx="31">
                    <c:v>4.8999999999999998E-3</c:v>
                  </c:pt>
                  <c:pt idx="32">
                    <c:v>4.8999999999999998E-3</c:v>
                  </c:pt>
                  <c:pt idx="33">
                    <c:v>4.8999999999999998E-3</c:v>
                  </c:pt>
                  <c:pt idx="34">
                    <c:v>4.8999999999999998E-3</c:v>
                  </c:pt>
                  <c:pt idx="35">
                    <c:v>4.8999999999999998E-3</c:v>
                  </c:pt>
                  <c:pt idx="36">
                    <c:v>4.8999999999999998E-3</c:v>
                  </c:pt>
                  <c:pt idx="37">
                    <c:v>4.8999999999999998E-3</c:v>
                  </c:pt>
                  <c:pt idx="38">
                    <c:v>4.8999999999999998E-3</c:v>
                  </c:pt>
                  <c:pt idx="39">
                    <c:v>4.8999999999999998E-3</c:v>
                  </c:pt>
                  <c:pt idx="40">
                    <c:v>4.8999999999999998E-3</c:v>
                  </c:pt>
                  <c:pt idx="41">
                    <c:v>4.8999999999999998E-3</c:v>
                  </c:pt>
                  <c:pt idx="42">
                    <c:v>4.8999999999999998E-3</c:v>
                  </c:pt>
                  <c:pt idx="43">
                    <c:v>4.8999999999999998E-3</c:v>
                  </c:pt>
                  <c:pt idx="44">
                    <c:v>4.8999999999999998E-3</c:v>
                  </c:pt>
                  <c:pt idx="45">
                    <c:v>4.8999999999999998E-3</c:v>
                  </c:pt>
                  <c:pt idx="46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Active!$N$21:$N$989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EE-4E15-9B7B-2571A163CC1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Active!$O$21:$O$989</c:f>
              <c:numCache>
                <c:formatCode>General</c:formatCode>
                <c:ptCount val="969"/>
                <c:pt idx="0">
                  <c:v>-0.60184935363777448</c:v>
                </c:pt>
                <c:pt idx="1">
                  <c:v>-0.59511326973998324</c:v>
                </c:pt>
                <c:pt idx="2">
                  <c:v>-0.24226357163321399</c:v>
                </c:pt>
                <c:pt idx="3">
                  <c:v>-0.2421121989613535</c:v>
                </c:pt>
                <c:pt idx="4">
                  <c:v>-0.24203651262542325</c:v>
                </c:pt>
                <c:pt idx="5">
                  <c:v>-0.19897098748111786</c:v>
                </c:pt>
                <c:pt idx="6">
                  <c:v>-0.13130740315948514</c:v>
                </c:pt>
                <c:pt idx="7">
                  <c:v>-0.13130740315948514</c:v>
                </c:pt>
                <c:pt idx="8">
                  <c:v>-0.1154889589500654</c:v>
                </c:pt>
                <c:pt idx="9">
                  <c:v>-9.6340315959715206E-2</c:v>
                </c:pt>
                <c:pt idx="10">
                  <c:v>-2.3908492474477488E-2</c:v>
                </c:pt>
                <c:pt idx="11">
                  <c:v>-1.2706914756802259E-2</c:v>
                </c:pt>
                <c:pt idx="12">
                  <c:v>-4.6084768122668096E-3</c:v>
                </c:pt>
                <c:pt idx="13">
                  <c:v>-3.4731817733132386E-3</c:v>
                </c:pt>
                <c:pt idx="14">
                  <c:v>3.3385884604081872E-3</c:v>
                </c:pt>
                <c:pt idx="15">
                  <c:v>9.0150636551760144E-3</c:v>
                </c:pt>
                <c:pt idx="16">
                  <c:v>1.1209967397152937E-2</c:v>
                </c:pt>
                <c:pt idx="17">
                  <c:v>4.2619796808201688E-2</c:v>
                </c:pt>
                <c:pt idx="18">
                  <c:v>8.6896303327390872E-2</c:v>
                </c:pt>
                <c:pt idx="19">
                  <c:v>9.2875523865879689E-2</c:v>
                </c:pt>
                <c:pt idx="20">
                  <c:v>0.10044415745890348</c:v>
                </c:pt>
                <c:pt idx="21">
                  <c:v>0.10044415745890348</c:v>
                </c:pt>
                <c:pt idx="22">
                  <c:v>0.1072559276926249</c:v>
                </c:pt>
                <c:pt idx="23">
                  <c:v>0.12867516076088226</c:v>
                </c:pt>
                <c:pt idx="24">
                  <c:v>0.15584655535983766</c:v>
                </c:pt>
                <c:pt idx="25">
                  <c:v>0.20511836005042255</c:v>
                </c:pt>
                <c:pt idx="26">
                  <c:v>0.20511836005042255</c:v>
                </c:pt>
                <c:pt idx="27">
                  <c:v>0.20432365352315507</c:v>
                </c:pt>
                <c:pt idx="28">
                  <c:v>0.20436149669112019</c:v>
                </c:pt>
                <c:pt idx="29">
                  <c:v>0.20526973272228305</c:v>
                </c:pt>
                <c:pt idx="30">
                  <c:v>0.20526973272228305</c:v>
                </c:pt>
                <c:pt idx="31">
                  <c:v>0.20526973272228305</c:v>
                </c:pt>
                <c:pt idx="32">
                  <c:v>0.20610228241751566</c:v>
                </c:pt>
                <c:pt idx="33">
                  <c:v>0.20610228241751566</c:v>
                </c:pt>
                <c:pt idx="34">
                  <c:v>0.20610228241751566</c:v>
                </c:pt>
                <c:pt idx="35">
                  <c:v>0.20610228241751566</c:v>
                </c:pt>
                <c:pt idx="36">
                  <c:v>0.20610228241751566</c:v>
                </c:pt>
                <c:pt idx="37">
                  <c:v>0.20655640043309709</c:v>
                </c:pt>
                <c:pt idx="38">
                  <c:v>0.20655640043309709</c:v>
                </c:pt>
                <c:pt idx="39">
                  <c:v>0.20727542062443433</c:v>
                </c:pt>
                <c:pt idx="40">
                  <c:v>0.21166522810838817</c:v>
                </c:pt>
                <c:pt idx="41">
                  <c:v>0.21166522810838817</c:v>
                </c:pt>
                <c:pt idx="42">
                  <c:v>0.21317895482699289</c:v>
                </c:pt>
                <c:pt idx="43">
                  <c:v>0.21317895482699289</c:v>
                </c:pt>
                <c:pt idx="44">
                  <c:v>0.21317895482699289</c:v>
                </c:pt>
                <c:pt idx="45">
                  <c:v>0.21317895482699289</c:v>
                </c:pt>
                <c:pt idx="46">
                  <c:v>0.21317895482699289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EE-4E15-9B7B-2571A163CC1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Active!$F$21:$F$989</c:f>
              <c:numCache>
                <c:formatCode>General</c:formatCode>
                <c:ptCount val="969"/>
                <c:pt idx="0">
                  <c:v>-6217</c:v>
                </c:pt>
                <c:pt idx="1">
                  <c:v>-6128</c:v>
                </c:pt>
                <c:pt idx="2">
                  <c:v>-1466</c:v>
                </c:pt>
                <c:pt idx="3">
                  <c:v>-1464</c:v>
                </c:pt>
                <c:pt idx="4">
                  <c:v>-1463</c:v>
                </c:pt>
                <c:pt idx="5">
                  <c:v>-894</c:v>
                </c:pt>
                <c:pt idx="6">
                  <c:v>0</c:v>
                </c:pt>
                <c:pt idx="7">
                  <c:v>0</c:v>
                </c:pt>
                <c:pt idx="8">
                  <c:v>209</c:v>
                </c:pt>
                <c:pt idx="9">
                  <c:v>462</c:v>
                </c:pt>
                <c:pt idx="10">
                  <c:v>1419</c:v>
                </c:pt>
                <c:pt idx="11">
                  <c:v>1567</c:v>
                </c:pt>
                <c:pt idx="12">
                  <c:v>1674</c:v>
                </c:pt>
                <c:pt idx="13">
                  <c:v>1689</c:v>
                </c:pt>
                <c:pt idx="14">
                  <c:v>1779</c:v>
                </c:pt>
                <c:pt idx="15">
                  <c:v>1854</c:v>
                </c:pt>
                <c:pt idx="16">
                  <c:v>1883</c:v>
                </c:pt>
                <c:pt idx="17">
                  <c:v>2298</c:v>
                </c:pt>
                <c:pt idx="18">
                  <c:v>2883</c:v>
                </c:pt>
                <c:pt idx="19">
                  <c:v>2962</c:v>
                </c:pt>
                <c:pt idx="20">
                  <c:v>3062</c:v>
                </c:pt>
                <c:pt idx="21">
                  <c:v>3062</c:v>
                </c:pt>
                <c:pt idx="22">
                  <c:v>3152</c:v>
                </c:pt>
                <c:pt idx="23">
                  <c:v>3435</c:v>
                </c:pt>
                <c:pt idx="24">
                  <c:v>3794</c:v>
                </c:pt>
                <c:pt idx="25">
                  <c:v>4445</c:v>
                </c:pt>
                <c:pt idx="26">
                  <c:v>4445</c:v>
                </c:pt>
                <c:pt idx="27">
                  <c:v>4434.5</c:v>
                </c:pt>
                <c:pt idx="28">
                  <c:v>4435</c:v>
                </c:pt>
                <c:pt idx="29">
                  <c:v>4447</c:v>
                </c:pt>
                <c:pt idx="30">
                  <c:v>4447</c:v>
                </c:pt>
                <c:pt idx="31">
                  <c:v>4447</c:v>
                </c:pt>
                <c:pt idx="32">
                  <c:v>4458</c:v>
                </c:pt>
                <c:pt idx="33">
                  <c:v>4458</c:v>
                </c:pt>
                <c:pt idx="34">
                  <c:v>4458</c:v>
                </c:pt>
                <c:pt idx="35">
                  <c:v>4458</c:v>
                </c:pt>
                <c:pt idx="36">
                  <c:v>4458</c:v>
                </c:pt>
                <c:pt idx="37">
                  <c:v>4464</c:v>
                </c:pt>
                <c:pt idx="38">
                  <c:v>4464</c:v>
                </c:pt>
                <c:pt idx="39">
                  <c:v>4473.5</c:v>
                </c:pt>
                <c:pt idx="40">
                  <c:v>4531.5</c:v>
                </c:pt>
                <c:pt idx="41">
                  <c:v>4531.5</c:v>
                </c:pt>
                <c:pt idx="42">
                  <c:v>4551.5</c:v>
                </c:pt>
                <c:pt idx="43">
                  <c:v>4551.5</c:v>
                </c:pt>
                <c:pt idx="44">
                  <c:v>4551.5</c:v>
                </c:pt>
                <c:pt idx="45">
                  <c:v>4551.5</c:v>
                </c:pt>
                <c:pt idx="46">
                  <c:v>4551.5</c:v>
                </c:pt>
              </c:numCache>
            </c:numRef>
          </c:xVal>
          <c:yVal>
            <c:numRef>
              <c:f>Active!$U$21:$U$989</c:f>
              <c:numCache>
                <c:formatCode>General</c:formatCode>
                <c:ptCount val="9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EE-4E15-9B7B-2571A163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871840"/>
        <c:axId val="1"/>
      </c:scatterChart>
      <c:valAx>
        <c:axId val="893871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69216810861607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382716049382713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3871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9262499594958"/>
          <c:y val="0.92000129214617399"/>
          <c:w val="0.742285084734778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0</xdr:rowOff>
    </xdr:from>
    <xdr:to>
      <xdr:col>16</xdr:col>
      <xdr:colOff>552450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A867873-4254-0E38-956E-75D19C630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8" TargetMode="External"/><Relationship Id="rId3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konkoly.hu/cgi-bin/IBVS?35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konkoly.hu/cgi-bin/IBVS?5713" TargetMode="External"/><Relationship Id="rId4" Type="http://schemas.openxmlformats.org/officeDocument/2006/relationships/hyperlink" Target="http://www.bav-astro.de/sfs/BAVM_link.php?BAVMnr=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workbookViewId="0">
      <pane xSplit="14" ySplit="22" topLeftCell="O47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3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48</v>
      </c>
    </row>
    <row r="2" spans="1:6" x14ac:dyDescent="0.2">
      <c r="A2" t="s">
        <v>24</v>
      </c>
      <c r="B2" s="14" t="s">
        <v>49</v>
      </c>
    </row>
    <row r="4" spans="1:6" ht="14.25" thickTop="1" thickBot="1" x14ac:dyDescent="0.25">
      <c r="A4" s="7" t="s">
        <v>0</v>
      </c>
      <c r="C4" s="3">
        <v>41806.436999999998</v>
      </c>
      <c r="D4" s="4">
        <v>3.9330940000000001</v>
      </c>
    </row>
    <row r="5" spans="1:6" ht="13.5" thickTop="1" x14ac:dyDescent="0.2">
      <c r="A5" s="22" t="s">
        <v>52</v>
      </c>
      <c r="B5" s="11"/>
      <c r="C5" s="23">
        <v>-9.5</v>
      </c>
      <c r="D5" s="11" t="s">
        <v>53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41806.436999999998</v>
      </c>
    </row>
    <row r="8" spans="1:6" x14ac:dyDescent="0.2">
      <c r="A8" t="s">
        <v>3</v>
      </c>
      <c r="C8">
        <f>+D4</f>
        <v>3.9330940000000001</v>
      </c>
    </row>
    <row r="9" spans="1:6" x14ac:dyDescent="0.2">
      <c r="A9" s="36" t="s">
        <v>58</v>
      </c>
      <c r="B9" s="37">
        <v>26</v>
      </c>
      <c r="C9" s="35" t="str">
        <f>"F"&amp;B9</f>
        <v>F26</v>
      </c>
      <c r="D9" s="10" t="str">
        <f>"G"&amp;B9</f>
        <v>G26</v>
      </c>
    </row>
    <row r="10" spans="1:6" ht="13.5" thickBot="1" x14ac:dyDescent="0.25">
      <c r="A10" s="11"/>
      <c r="B10" s="11"/>
      <c r="C10" s="6" t="s">
        <v>20</v>
      </c>
      <c r="D10" s="6" t="s">
        <v>21</v>
      </c>
      <c r="E10" s="11"/>
    </row>
    <row r="11" spans="1:6" x14ac:dyDescent="0.2">
      <c r="A11" s="11" t="s">
        <v>16</v>
      </c>
      <c r="B11" s="11"/>
      <c r="C11" s="34">
        <f ca="1">INTERCEPT(INDIRECT($D$9):G992,INDIRECT($C$9):F992)</f>
        <v>-0.13130740315948514</v>
      </c>
      <c r="D11" s="5"/>
      <c r="E11" s="11"/>
    </row>
    <row r="12" spans="1:6" x14ac:dyDescent="0.2">
      <c r="A12" s="11" t="s">
        <v>17</v>
      </c>
      <c r="B12" s="11"/>
      <c r="C12" s="34">
        <f ca="1">SLOPE(INDIRECT($D$9):G992,INDIRECT($C$9):F992)</f>
        <v>7.5686335930237952E-5</v>
      </c>
      <c r="D12" s="5"/>
      <c r="E12" s="11"/>
    </row>
    <row r="13" spans="1:6" x14ac:dyDescent="0.2">
      <c r="A13" s="11" t="s">
        <v>19</v>
      </c>
      <c r="B13" s="11"/>
      <c r="C13" s="5" t="s">
        <v>14</v>
      </c>
    </row>
    <row r="14" spans="1:6" x14ac:dyDescent="0.2">
      <c r="A14" s="11"/>
      <c r="B14" s="11"/>
      <c r="C14" s="11"/>
    </row>
    <row r="15" spans="1:6" x14ac:dyDescent="0.2">
      <c r="A15" s="24" t="s">
        <v>18</v>
      </c>
      <c r="B15" s="11"/>
      <c r="C15" s="25">
        <f ca="1">(C7+C11)+(C8+C12)*INT(MAX(F21:F3533))</f>
        <v>59706.160935111664</v>
      </c>
      <c r="E15" s="26" t="s">
        <v>59</v>
      </c>
      <c r="F15" s="23">
        <v>1</v>
      </c>
    </row>
    <row r="16" spans="1:6" x14ac:dyDescent="0.2">
      <c r="A16" s="28" t="s">
        <v>4</v>
      </c>
      <c r="B16" s="11"/>
      <c r="C16" s="29">
        <f ca="1">+C8+C12</f>
        <v>3.9331696863359302</v>
      </c>
      <c r="E16" s="26" t="s">
        <v>54</v>
      </c>
      <c r="F16" s="27">
        <f ca="1">NOW()+15018.5+$C$5/24</f>
        <v>60170.567578124996</v>
      </c>
    </row>
    <row r="17" spans="1:32" ht="13.5" thickBot="1" x14ac:dyDescent="0.25">
      <c r="A17" s="26" t="s">
        <v>47</v>
      </c>
      <c r="B17" s="11"/>
      <c r="C17" s="11">
        <f>COUNT(C21:C2191)</f>
        <v>47</v>
      </c>
      <c r="E17" s="26" t="s">
        <v>60</v>
      </c>
      <c r="F17" s="27">
        <f ca="1">ROUND(2*(F16-$C$7)/$C$8,0)/2+F15</f>
        <v>4670</v>
      </c>
    </row>
    <row r="18" spans="1:32" ht="14.25" thickTop="1" thickBot="1" x14ac:dyDescent="0.25">
      <c r="A18" s="28" t="s">
        <v>5</v>
      </c>
      <c r="B18" s="11"/>
      <c r="C18" s="31">
        <f ca="1">+C15</f>
        <v>59706.160935111664</v>
      </c>
      <c r="D18" s="32">
        <f ca="1">+C16</f>
        <v>3.9331696863359302</v>
      </c>
      <c r="E18" s="26" t="s">
        <v>55</v>
      </c>
      <c r="F18" s="10">
        <f ca="1">ROUND(2*(F16-$C$15)/$C$16,0)/2+F15</f>
        <v>119</v>
      </c>
    </row>
    <row r="19" spans="1:32" ht="13.5" thickTop="1" x14ac:dyDescent="0.2">
      <c r="E19" s="26" t="s">
        <v>56</v>
      </c>
      <c r="F19" s="30">
        <f ca="1">+$C$15+$C$16*F18-15018.5-$C$5/24</f>
        <v>45156.103961118977</v>
      </c>
    </row>
    <row r="20" spans="1:32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70</v>
      </c>
      <c r="I20" s="9" t="s">
        <v>73</v>
      </c>
      <c r="J20" s="9" t="s">
        <v>67</v>
      </c>
      <c r="K20" s="9" t="s">
        <v>65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  <c r="U20" s="57" t="s">
        <v>186</v>
      </c>
    </row>
    <row r="21" spans="1:32" x14ac:dyDescent="0.2">
      <c r="A21" s="55" t="s">
        <v>80</v>
      </c>
      <c r="B21" s="56" t="s">
        <v>45</v>
      </c>
      <c r="C21" s="55">
        <v>17354.398000000001</v>
      </c>
      <c r="D21" s="55" t="s">
        <v>73</v>
      </c>
      <c r="E21">
        <f t="shared" ref="E21:E47" si="0">+(C21-C$7)/C$8</f>
        <v>-6216.9983732908486</v>
      </c>
      <c r="F21">
        <f t="shared" ref="F21:F47" si="1">ROUND(2*E21,0)/2</f>
        <v>-6217</v>
      </c>
      <c r="G21">
        <f t="shared" ref="G21:G47" si="2">+C21-(C$7+F21*C$8)</f>
        <v>6.3980000049923547E-3</v>
      </c>
      <c r="I21">
        <f>G21</f>
        <v>6.3980000049923547E-3</v>
      </c>
      <c r="O21">
        <f t="shared" ref="O21:O47" ca="1" si="3">+C$11+C$12*F21</f>
        <v>-0.60184935363777448</v>
      </c>
      <c r="Q21" s="2">
        <f t="shared" ref="Q21:Q47" si="4">+C21-15018.5</f>
        <v>2335.898000000001</v>
      </c>
    </row>
    <row r="22" spans="1:32" x14ac:dyDescent="0.2">
      <c r="A22" s="55" t="s">
        <v>80</v>
      </c>
      <c r="B22" s="56" t="s">
        <v>45</v>
      </c>
      <c r="C22" s="55">
        <v>17704.432000000001</v>
      </c>
      <c r="D22" s="55" t="s">
        <v>73</v>
      </c>
      <c r="E22">
        <f t="shared" si="0"/>
        <v>-6128.001263127705</v>
      </c>
      <c r="F22">
        <f t="shared" si="1"/>
        <v>-6128</v>
      </c>
      <c r="G22">
        <f t="shared" si="2"/>
        <v>-4.9679999974614475E-3</v>
      </c>
      <c r="I22">
        <f>G22</f>
        <v>-4.9679999974614475E-3</v>
      </c>
      <c r="O22">
        <f t="shared" ca="1" si="3"/>
        <v>-0.59511326973998324</v>
      </c>
      <c r="Q22" s="2">
        <f t="shared" si="4"/>
        <v>2685.9320000000007</v>
      </c>
    </row>
    <row r="23" spans="1:32" x14ac:dyDescent="0.2">
      <c r="A23" s="55" t="s">
        <v>88</v>
      </c>
      <c r="B23" s="56" t="s">
        <v>45</v>
      </c>
      <c r="C23" s="55">
        <v>36040.5</v>
      </c>
      <c r="D23" s="55" t="s">
        <v>73</v>
      </c>
      <c r="E23">
        <f t="shared" si="0"/>
        <v>-1466.0053891414743</v>
      </c>
      <c r="F23">
        <f t="shared" si="1"/>
        <v>-1466</v>
      </c>
      <c r="G23">
        <f t="shared" si="2"/>
        <v>-2.1196000001509674E-2</v>
      </c>
      <c r="I23">
        <f>G23</f>
        <v>-2.1196000001509674E-2</v>
      </c>
      <c r="O23">
        <f t="shared" ca="1" si="3"/>
        <v>-0.24226357163321399</v>
      </c>
      <c r="Q23" s="2">
        <f t="shared" si="4"/>
        <v>21022</v>
      </c>
    </row>
    <row r="24" spans="1:32" x14ac:dyDescent="0.2">
      <c r="A24" s="55" t="s">
        <v>88</v>
      </c>
      <c r="B24" s="56" t="s">
        <v>45</v>
      </c>
      <c r="C24" s="55">
        <v>36048.379999999997</v>
      </c>
      <c r="D24" s="55" t="s">
        <v>73</v>
      </c>
      <c r="E24">
        <f t="shared" si="0"/>
        <v>-1464.0018774023708</v>
      </c>
      <c r="F24">
        <f t="shared" si="1"/>
        <v>-1464</v>
      </c>
      <c r="G24">
        <f t="shared" si="2"/>
        <v>-7.3840000040945597E-3</v>
      </c>
      <c r="I24">
        <f>G24</f>
        <v>-7.3840000040945597E-3</v>
      </c>
      <c r="O24">
        <f t="shared" ca="1" si="3"/>
        <v>-0.2421121989613535</v>
      </c>
      <c r="Q24" s="2">
        <f t="shared" si="4"/>
        <v>21029.879999999997</v>
      </c>
    </row>
    <row r="25" spans="1:32" x14ac:dyDescent="0.2">
      <c r="A25" s="55" t="s">
        <v>88</v>
      </c>
      <c r="B25" s="56" t="s">
        <v>45</v>
      </c>
      <c r="C25" s="55">
        <v>36052.33</v>
      </c>
      <c r="D25" s="55" t="s">
        <v>73</v>
      </c>
      <c r="E25">
        <f t="shared" si="0"/>
        <v>-1462.9975790052301</v>
      </c>
      <c r="F25">
        <f t="shared" si="1"/>
        <v>-1463</v>
      </c>
      <c r="G25">
        <f t="shared" si="2"/>
        <v>9.522000007564202E-3</v>
      </c>
      <c r="I25">
        <f>G25</f>
        <v>9.522000007564202E-3</v>
      </c>
      <c r="O25">
        <f t="shared" ca="1" si="3"/>
        <v>-0.24203651262542325</v>
      </c>
      <c r="Q25" s="2">
        <f t="shared" si="4"/>
        <v>21033.83</v>
      </c>
    </row>
    <row r="26" spans="1:32" x14ac:dyDescent="0.2">
      <c r="A26" s="12" t="s">
        <v>46</v>
      </c>
      <c r="B26" s="13"/>
      <c r="C26" s="21">
        <v>38290.269999999997</v>
      </c>
      <c r="D26" s="19"/>
      <c r="E26">
        <f t="shared" si="0"/>
        <v>-893.99516004448435</v>
      </c>
      <c r="F26">
        <f t="shared" si="1"/>
        <v>-894</v>
      </c>
      <c r="G26">
        <f t="shared" si="2"/>
        <v>1.9035999997868203E-2</v>
      </c>
      <c r="J26">
        <f>G26</f>
        <v>1.9035999997868203E-2</v>
      </c>
      <c r="O26">
        <f t="shared" ca="1" si="3"/>
        <v>-0.19897098748111786</v>
      </c>
      <c r="Q26" s="2">
        <f t="shared" si="4"/>
        <v>23271.769999999997</v>
      </c>
      <c r="R26" t="s">
        <v>73</v>
      </c>
      <c r="AD26" t="s">
        <v>37</v>
      </c>
      <c r="AF26" t="s">
        <v>30</v>
      </c>
    </row>
    <row r="27" spans="1:32" x14ac:dyDescent="0.2">
      <c r="A27" t="s">
        <v>29</v>
      </c>
      <c r="C27" s="19">
        <v>41806.410000000003</v>
      </c>
      <c r="D27" s="19"/>
      <c r="E27">
        <f t="shared" si="0"/>
        <v>-6.8648244854017442E-3</v>
      </c>
      <c r="F27">
        <f t="shared" si="1"/>
        <v>0</v>
      </c>
      <c r="G27">
        <f t="shared" si="2"/>
        <v>-2.6999999994586688E-2</v>
      </c>
      <c r="I27">
        <f>G27</f>
        <v>-2.6999999994586688E-2</v>
      </c>
      <c r="O27">
        <f t="shared" ca="1" si="3"/>
        <v>-0.13130740315948514</v>
      </c>
      <c r="Q27" s="2">
        <f t="shared" si="4"/>
        <v>26787.910000000003</v>
      </c>
      <c r="AD27" t="s">
        <v>37</v>
      </c>
      <c r="AF27" t="s">
        <v>30</v>
      </c>
    </row>
    <row r="28" spans="1:32" x14ac:dyDescent="0.2">
      <c r="A28" t="s">
        <v>12</v>
      </c>
      <c r="C28" s="19">
        <v>41806.436999999998</v>
      </c>
      <c r="D28" s="19" t="s">
        <v>14</v>
      </c>
      <c r="E28">
        <f t="shared" si="0"/>
        <v>0</v>
      </c>
      <c r="F28">
        <f t="shared" si="1"/>
        <v>0</v>
      </c>
      <c r="G28">
        <f t="shared" si="2"/>
        <v>0</v>
      </c>
      <c r="I28">
        <f>+G28</f>
        <v>0</v>
      </c>
      <c r="O28">
        <f t="shared" ca="1" si="3"/>
        <v>-0.13130740315948514</v>
      </c>
      <c r="Q28" s="2">
        <f t="shared" si="4"/>
        <v>26787.936999999998</v>
      </c>
      <c r="AD28" t="s">
        <v>41</v>
      </c>
      <c r="AF28" t="s">
        <v>30</v>
      </c>
    </row>
    <row r="29" spans="1:32" x14ac:dyDescent="0.2">
      <c r="A29" t="s">
        <v>32</v>
      </c>
      <c r="C29" s="19">
        <v>42628.419000000002</v>
      </c>
      <c r="D29" s="19"/>
      <c r="E29">
        <f t="shared" si="0"/>
        <v>208.99119115892057</v>
      </c>
      <c r="F29">
        <f t="shared" si="1"/>
        <v>209</v>
      </c>
      <c r="G29">
        <f t="shared" si="2"/>
        <v>-3.4645999992790166E-2</v>
      </c>
      <c r="I29">
        <f t="shared" ref="I29:I38" si="5">G29</f>
        <v>-3.4645999992790166E-2</v>
      </c>
      <c r="O29">
        <f t="shared" ca="1" si="3"/>
        <v>-0.1154889589500654</v>
      </c>
      <c r="Q29" s="2">
        <f t="shared" si="4"/>
        <v>27609.919000000002</v>
      </c>
      <c r="AD29" t="s">
        <v>41</v>
      </c>
      <c r="AF29" t="s">
        <v>30</v>
      </c>
    </row>
    <row r="30" spans="1:32" x14ac:dyDescent="0.2">
      <c r="A30" t="s">
        <v>33</v>
      </c>
      <c r="C30" s="19">
        <v>43623.51</v>
      </c>
      <c r="D30" s="19"/>
      <c r="E30">
        <f t="shared" si="0"/>
        <v>461.99582313567993</v>
      </c>
      <c r="F30">
        <f t="shared" si="1"/>
        <v>462</v>
      </c>
      <c r="G30">
        <f t="shared" si="2"/>
        <v>-1.6427999995357823E-2</v>
      </c>
      <c r="I30">
        <f t="shared" si="5"/>
        <v>-1.6427999995357823E-2</v>
      </c>
      <c r="O30">
        <f t="shared" ca="1" si="3"/>
        <v>-9.6340315959715206E-2</v>
      </c>
      <c r="Q30" s="2">
        <f t="shared" si="4"/>
        <v>28605.010000000002</v>
      </c>
      <c r="AD30" t="s">
        <v>31</v>
      </c>
      <c r="AF30" t="s">
        <v>30</v>
      </c>
    </row>
    <row r="31" spans="1:32" x14ac:dyDescent="0.2">
      <c r="A31" t="s">
        <v>34</v>
      </c>
      <c r="C31" s="19">
        <v>47387.432999999997</v>
      </c>
      <c r="D31" s="19"/>
      <c r="E31">
        <f t="shared" si="0"/>
        <v>1418.9836296818737</v>
      </c>
      <c r="F31">
        <f t="shared" si="1"/>
        <v>1419</v>
      </c>
      <c r="G31">
        <f t="shared" si="2"/>
        <v>-6.4385999998194166E-2</v>
      </c>
      <c r="I31">
        <f t="shared" si="5"/>
        <v>-6.4385999998194166E-2</v>
      </c>
      <c r="O31">
        <f t="shared" ca="1" si="3"/>
        <v>-2.3908492474477488E-2</v>
      </c>
      <c r="Q31" s="2">
        <f t="shared" si="4"/>
        <v>32368.932999999997</v>
      </c>
      <c r="AD31" t="s">
        <v>28</v>
      </c>
      <c r="AF31" t="s">
        <v>30</v>
      </c>
    </row>
    <row r="32" spans="1:32" x14ac:dyDescent="0.2">
      <c r="A32" t="s">
        <v>36</v>
      </c>
      <c r="C32" s="19">
        <v>47969.525000000001</v>
      </c>
      <c r="D32" s="19"/>
      <c r="E32">
        <f t="shared" si="0"/>
        <v>1566.9821265395649</v>
      </c>
      <c r="F32">
        <f t="shared" si="1"/>
        <v>1567</v>
      </c>
      <c r="G32">
        <f t="shared" si="2"/>
        <v>-7.029799999872921E-2</v>
      </c>
      <c r="I32">
        <f t="shared" si="5"/>
        <v>-7.029799999872921E-2</v>
      </c>
      <c r="O32">
        <f t="shared" ca="1" si="3"/>
        <v>-1.2706914756802259E-2</v>
      </c>
      <c r="Q32" s="2">
        <f t="shared" si="4"/>
        <v>32951.025000000001</v>
      </c>
      <c r="AD32" t="s">
        <v>28</v>
      </c>
      <c r="AF32" t="s">
        <v>30</v>
      </c>
    </row>
    <row r="33" spans="1:32" x14ac:dyDescent="0.2">
      <c r="A33" t="s">
        <v>38</v>
      </c>
      <c r="C33" s="19">
        <v>48390.428999999996</v>
      </c>
      <c r="D33" s="19">
        <v>3.0000000000000001E-3</v>
      </c>
      <c r="E33">
        <f t="shared" si="0"/>
        <v>1673.998129716706</v>
      </c>
      <c r="F33">
        <f t="shared" si="1"/>
        <v>1674</v>
      </c>
      <c r="G33">
        <f t="shared" si="2"/>
        <v>-7.3560000018915161E-3</v>
      </c>
      <c r="I33">
        <f t="shared" si="5"/>
        <v>-7.3560000018915161E-3</v>
      </c>
      <c r="O33">
        <f t="shared" ca="1" si="3"/>
        <v>-4.6084768122668096E-3</v>
      </c>
      <c r="Q33" s="2">
        <f t="shared" si="4"/>
        <v>33371.928999999996</v>
      </c>
      <c r="U33" s="10"/>
      <c r="AD33" t="s">
        <v>37</v>
      </c>
      <c r="AF33" t="s">
        <v>30</v>
      </c>
    </row>
    <row r="34" spans="1:32" x14ac:dyDescent="0.2">
      <c r="A34" t="s">
        <v>38</v>
      </c>
      <c r="C34" s="19">
        <v>48449.402999999998</v>
      </c>
      <c r="D34" s="19">
        <v>6.0000000000000001E-3</v>
      </c>
      <c r="E34">
        <f t="shared" si="0"/>
        <v>1688.9924319123825</v>
      </c>
      <c r="F34">
        <f t="shared" si="1"/>
        <v>1689</v>
      </c>
      <c r="G34">
        <f t="shared" si="2"/>
        <v>-2.9765999999654014E-2</v>
      </c>
      <c r="I34">
        <f t="shared" si="5"/>
        <v>-2.9765999999654014E-2</v>
      </c>
      <c r="O34">
        <f t="shared" ca="1" si="3"/>
        <v>-3.4731817733132386E-3</v>
      </c>
      <c r="Q34" s="2">
        <f t="shared" si="4"/>
        <v>33430.902999999998</v>
      </c>
      <c r="U34" s="10"/>
      <c r="AD34" t="s">
        <v>37</v>
      </c>
      <c r="AF34" t="s">
        <v>30</v>
      </c>
    </row>
    <row r="35" spans="1:32" x14ac:dyDescent="0.2">
      <c r="A35" t="s">
        <v>39</v>
      </c>
      <c r="C35" s="19">
        <v>48803.402000000002</v>
      </c>
      <c r="D35" s="19">
        <v>5.0000000000000001E-3</v>
      </c>
      <c r="E35">
        <f t="shared" si="0"/>
        <v>1778.9976542640486</v>
      </c>
      <c r="F35">
        <f t="shared" si="1"/>
        <v>1779</v>
      </c>
      <c r="G35">
        <f t="shared" si="2"/>
        <v>-9.2259999946691096E-3</v>
      </c>
      <c r="I35">
        <f t="shared" si="5"/>
        <v>-9.2259999946691096E-3</v>
      </c>
      <c r="O35">
        <f t="shared" ca="1" si="3"/>
        <v>3.3385884604081872E-3</v>
      </c>
      <c r="Q35" s="2">
        <f t="shared" si="4"/>
        <v>33784.902000000002</v>
      </c>
      <c r="U35" s="10"/>
      <c r="AF35" t="s">
        <v>35</v>
      </c>
    </row>
    <row r="36" spans="1:32" x14ac:dyDescent="0.2">
      <c r="A36" t="s">
        <v>40</v>
      </c>
      <c r="C36" s="19">
        <v>49098.37</v>
      </c>
      <c r="D36" s="19">
        <v>7.0000000000000001E-3</v>
      </c>
      <c r="E36">
        <f t="shared" si="0"/>
        <v>1853.9940820127879</v>
      </c>
      <c r="F36">
        <f t="shared" si="1"/>
        <v>1854</v>
      </c>
      <c r="G36">
        <f t="shared" si="2"/>
        <v>-2.32759999926202E-2</v>
      </c>
      <c r="I36">
        <f t="shared" si="5"/>
        <v>-2.32759999926202E-2</v>
      </c>
      <c r="O36">
        <f t="shared" ca="1" si="3"/>
        <v>9.0150636551760144E-3</v>
      </c>
      <c r="Q36" s="2">
        <f t="shared" si="4"/>
        <v>34079.870000000003</v>
      </c>
      <c r="U36" s="10"/>
      <c r="AF36" t="s">
        <v>35</v>
      </c>
    </row>
    <row r="37" spans="1:32" x14ac:dyDescent="0.2">
      <c r="A37" t="s">
        <v>42</v>
      </c>
      <c r="C37" s="19">
        <v>49212.38</v>
      </c>
      <c r="D37" s="19">
        <v>0.01</v>
      </c>
      <c r="E37">
        <f t="shared" si="0"/>
        <v>1882.9814390401041</v>
      </c>
      <c r="F37">
        <f t="shared" si="1"/>
        <v>1883</v>
      </c>
      <c r="G37">
        <f t="shared" si="2"/>
        <v>-7.3001999997359235E-2</v>
      </c>
      <c r="I37">
        <f t="shared" si="5"/>
        <v>-7.3001999997359235E-2</v>
      </c>
      <c r="O37">
        <f t="shared" ca="1" si="3"/>
        <v>1.1209967397152937E-2</v>
      </c>
      <c r="Q37" s="2">
        <f t="shared" si="4"/>
        <v>34193.879999999997</v>
      </c>
    </row>
    <row r="38" spans="1:32" x14ac:dyDescent="0.2">
      <c r="A38" t="s">
        <v>43</v>
      </c>
      <c r="C38" s="19">
        <v>50844.591</v>
      </c>
      <c r="D38" s="19">
        <v>8.0000000000000002E-3</v>
      </c>
      <c r="E38">
        <f t="shared" si="0"/>
        <v>2297.9755886841253</v>
      </c>
      <c r="F38">
        <f t="shared" si="1"/>
        <v>2298</v>
      </c>
      <c r="G38">
        <f t="shared" si="2"/>
        <v>-9.6011999994516373E-2</v>
      </c>
      <c r="I38">
        <f t="shared" si="5"/>
        <v>-9.6011999994516373E-2</v>
      </c>
      <c r="O38">
        <f t="shared" ca="1" si="3"/>
        <v>4.2619796808201688E-2</v>
      </c>
      <c r="Q38" s="2">
        <f t="shared" si="4"/>
        <v>35826.091</v>
      </c>
    </row>
    <row r="39" spans="1:32" x14ac:dyDescent="0.2">
      <c r="A39" s="11" t="s">
        <v>44</v>
      </c>
      <c r="B39" s="5" t="s">
        <v>45</v>
      </c>
      <c r="C39" s="19">
        <v>53145.459000000003</v>
      </c>
      <c r="D39" s="19">
        <v>5.0000000000000001E-3</v>
      </c>
      <c r="E39">
        <f t="shared" si="0"/>
        <v>2882.9776252487241</v>
      </c>
      <c r="F39">
        <f t="shared" si="1"/>
        <v>2883</v>
      </c>
      <c r="G39">
        <f t="shared" si="2"/>
        <v>-8.8001999996777158E-2</v>
      </c>
      <c r="K39">
        <f>G39</f>
        <v>-8.8001999996777158E-2</v>
      </c>
      <c r="O39">
        <f t="shared" ca="1" si="3"/>
        <v>8.6896303327390872E-2</v>
      </c>
      <c r="Q39" s="2">
        <f t="shared" si="4"/>
        <v>38126.959000000003</v>
      </c>
      <c r="R39" t="s">
        <v>65</v>
      </c>
    </row>
    <row r="40" spans="1:32" x14ac:dyDescent="0.2">
      <c r="A40" s="55" t="s">
        <v>157</v>
      </c>
      <c r="B40" s="56" t="s">
        <v>45</v>
      </c>
      <c r="C40" s="55">
        <v>53456.1734</v>
      </c>
      <c r="D40" s="55" t="s">
        <v>73</v>
      </c>
      <c r="E40">
        <f t="shared" si="0"/>
        <v>2961.9776186381514</v>
      </c>
      <c r="F40">
        <f t="shared" si="1"/>
        <v>2962</v>
      </c>
      <c r="G40">
        <f t="shared" si="2"/>
        <v>-8.802799999830313E-2</v>
      </c>
      <c r="K40">
        <f>G40</f>
        <v>-8.802799999830313E-2</v>
      </c>
      <c r="O40">
        <f t="shared" ca="1" si="3"/>
        <v>9.2875523865879689E-2</v>
      </c>
      <c r="Q40" s="2">
        <f t="shared" si="4"/>
        <v>38437.6734</v>
      </c>
      <c r="R40" t="s">
        <v>65</v>
      </c>
    </row>
    <row r="41" spans="1:32" x14ac:dyDescent="0.2">
      <c r="A41" s="11" t="s">
        <v>50</v>
      </c>
      <c r="B41" s="15"/>
      <c r="C41" s="19">
        <v>53849.467299999997</v>
      </c>
      <c r="D41" s="19">
        <v>2E-3</v>
      </c>
      <c r="E41">
        <f t="shared" si="0"/>
        <v>3061.9736777203898</v>
      </c>
      <c r="F41">
        <f t="shared" si="1"/>
        <v>3062</v>
      </c>
      <c r="G41">
        <f t="shared" si="2"/>
        <v>-0.10352799999964191</v>
      </c>
      <c r="J41">
        <f>G41</f>
        <v>-0.10352799999964191</v>
      </c>
      <c r="O41">
        <f t="shared" ca="1" si="3"/>
        <v>0.10044415745890348</v>
      </c>
      <c r="Q41" s="2">
        <f t="shared" si="4"/>
        <v>38830.967299999997</v>
      </c>
      <c r="R41" t="s">
        <v>67</v>
      </c>
    </row>
    <row r="42" spans="1:32" x14ac:dyDescent="0.2">
      <c r="A42" s="17" t="s">
        <v>51</v>
      </c>
      <c r="B42" s="18" t="s">
        <v>45</v>
      </c>
      <c r="C42" s="20">
        <v>53849.4686</v>
      </c>
      <c r="D42" s="20">
        <v>4.0000000000000002E-4</v>
      </c>
      <c r="E42">
        <f t="shared" si="0"/>
        <v>3061.974008248977</v>
      </c>
      <c r="F42">
        <f t="shared" si="1"/>
        <v>3062</v>
      </c>
      <c r="G42">
        <f t="shared" si="2"/>
        <v>-0.10222799999610288</v>
      </c>
      <c r="J42">
        <f>G42</f>
        <v>-0.10222799999610288</v>
      </c>
      <c r="O42">
        <f t="shared" ca="1" si="3"/>
        <v>0.10044415745890348</v>
      </c>
      <c r="Q42" s="2">
        <f t="shared" si="4"/>
        <v>38830.9686</v>
      </c>
      <c r="R42" t="s">
        <v>67</v>
      </c>
    </row>
    <row r="43" spans="1:32" x14ac:dyDescent="0.2">
      <c r="A43" s="20" t="s">
        <v>57</v>
      </c>
      <c r="B43" s="33"/>
      <c r="C43" s="16">
        <v>54203.443700000003</v>
      </c>
      <c r="D43" s="16">
        <v>8.9999999999999998E-4</v>
      </c>
      <c r="E43">
        <f t="shared" si="0"/>
        <v>3151.9731539597083</v>
      </c>
      <c r="F43">
        <f t="shared" si="1"/>
        <v>3152</v>
      </c>
      <c r="G43">
        <f t="shared" si="2"/>
        <v>-0.10558799999125767</v>
      </c>
      <c r="J43">
        <f>G43</f>
        <v>-0.10558799999125767</v>
      </c>
      <c r="O43">
        <f t="shared" ca="1" si="3"/>
        <v>0.1072559276926249</v>
      </c>
      <c r="Q43" s="2">
        <f t="shared" si="4"/>
        <v>39184.943700000003</v>
      </c>
      <c r="R43" t="s">
        <v>67</v>
      </c>
    </row>
    <row r="44" spans="1:32" x14ac:dyDescent="0.2">
      <c r="A44" s="38" t="s">
        <v>61</v>
      </c>
      <c r="B44" s="39" t="s">
        <v>45</v>
      </c>
      <c r="C44" s="38">
        <v>55316.509599999998</v>
      </c>
      <c r="D44" s="38">
        <v>3.8E-3</v>
      </c>
      <c r="E44">
        <f t="shared" si="0"/>
        <v>3434.9732297270289</v>
      </c>
      <c r="F44">
        <f t="shared" si="1"/>
        <v>3435</v>
      </c>
      <c r="G44">
        <f t="shared" si="2"/>
        <v>-0.10528999999951338</v>
      </c>
      <c r="J44">
        <f>G44</f>
        <v>-0.10528999999951338</v>
      </c>
      <c r="O44">
        <f t="shared" ca="1" si="3"/>
        <v>0.12867516076088226</v>
      </c>
      <c r="Q44" s="2">
        <f t="shared" si="4"/>
        <v>40298.009599999998</v>
      </c>
      <c r="R44" t="s">
        <v>67</v>
      </c>
    </row>
    <row r="45" spans="1:32" x14ac:dyDescent="0.2">
      <c r="A45" s="40" t="s">
        <v>62</v>
      </c>
      <c r="B45" s="41" t="s">
        <v>45</v>
      </c>
      <c r="C45" s="40">
        <v>56728.4899</v>
      </c>
      <c r="D45" s="40">
        <v>2.0999999999999999E-3</v>
      </c>
      <c r="E45">
        <f t="shared" si="0"/>
        <v>3793.9731163302995</v>
      </c>
      <c r="F45">
        <f t="shared" si="1"/>
        <v>3794</v>
      </c>
      <c r="G45">
        <f t="shared" si="2"/>
        <v>-0.10573599999770522</v>
      </c>
      <c r="J45">
        <f>G45</f>
        <v>-0.10573599999770522</v>
      </c>
      <c r="O45">
        <f t="shared" ca="1" si="3"/>
        <v>0.15584655535983766</v>
      </c>
      <c r="Q45" s="2">
        <f t="shared" si="4"/>
        <v>41709.9899</v>
      </c>
      <c r="R45" t="s">
        <v>67</v>
      </c>
    </row>
    <row r="46" spans="1:32" x14ac:dyDescent="0.2">
      <c r="A46" s="58" t="s">
        <v>187</v>
      </c>
      <c r="B46" s="59" t="s">
        <v>45</v>
      </c>
      <c r="C46" s="60">
        <v>59288.579700000002</v>
      </c>
      <c r="D46" s="58">
        <v>4.8999999999999998E-3</v>
      </c>
      <c r="E46">
        <f t="shared" si="0"/>
        <v>4444.8830106781079</v>
      </c>
      <c r="F46">
        <f t="shared" si="1"/>
        <v>4445</v>
      </c>
      <c r="G46">
        <f t="shared" si="2"/>
        <v>-0.46012999999220483</v>
      </c>
      <c r="K46">
        <f>G46</f>
        <v>-0.46012999999220483</v>
      </c>
      <c r="O46">
        <f t="shared" ca="1" si="3"/>
        <v>0.20511836005042255</v>
      </c>
      <c r="Q46" s="2">
        <f t="shared" si="4"/>
        <v>44270.079700000002</v>
      </c>
      <c r="R46" t="s">
        <v>65</v>
      </c>
    </row>
    <row r="47" spans="1:32" x14ac:dyDescent="0.2">
      <c r="A47" s="58" t="s">
        <v>187</v>
      </c>
      <c r="B47" s="59" t="s">
        <v>45</v>
      </c>
      <c r="C47" s="60">
        <v>59288.6423</v>
      </c>
      <c r="D47" s="58">
        <v>4.8999999999999998E-3</v>
      </c>
      <c r="E47">
        <f t="shared" si="0"/>
        <v>4444.8989269008071</v>
      </c>
      <c r="F47">
        <f t="shared" si="1"/>
        <v>4445</v>
      </c>
      <c r="G47">
        <f t="shared" si="2"/>
        <v>-0.39752999999473104</v>
      </c>
      <c r="K47">
        <f>G47</f>
        <v>-0.39752999999473104</v>
      </c>
      <c r="O47">
        <f t="shared" ca="1" si="3"/>
        <v>0.20511836005042255</v>
      </c>
      <c r="Q47" s="2">
        <f t="shared" si="4"/>
        <v>44270.1423</v>
      </c>
      <c r="R47" t="s">
        <v>65</v>
      </c>
    </row>
    <row r="48" spans="1:32" x14ac:dyDescent="0.2">
      <c r="A48" s="58" t="s">
        <v>188</v>
      </c>
      <c r="B48" s="59" t="s">
        <v>45</v>
      </c>
      <c r="C48" s="61">
        <v>59248.6849</v>
      </c>
      <c r="D48" s="58">
        <v>4.8999999999999998E-3</v>
      </c>
      <c r="E48">
        <f t="shared" ref="E48:E67" si="6">+(C48-C$7)/C$8</f>
        <v>4434.739647717548</v>
      </c>
      <c r="F48">
        <f t="shared" ref="F48:F67" si="7">ROUND(2*E48,0)/2</f>
        <v>4434.5</v>
      </c>
      <c r="G48">
        <f t="shared" ref="G48:G67" si="8">+C48-(C$7+F48*C$8)</f>
        <v>0.94255700000212528</v>
      </c>
      <c r="K48">
        <f t="shared" ref="K48:K67" si="9">G48</f>
        <v>0.94255700000212528</v>
      </c>
      <c r="O48">
        <f t="shared" ref="O48:O67" ca="1" si="10">+C$11+C$12*F48</f>
        <v>0.20432365352315507</v>
      </c>
      <c r="Q48" s="2">
        <f t="shared" ref="Q48:Q67" si="11">+C48-15018.5</f>
        <v>44230.1849</v>
      </c>
      <c r="R48" t="s">
        <v>65</v>
      </c>
    </row>
    <row r="49" spans="1:18" x14ac:dyDescent="0.2">
      <c r="A49" s="58" t="s">
        <v>188</v>
      </c>
      <c r="B49" s="59" t="s">
        <v>45</v>
      </c>
      <c r="C49" s="61">
        <v>59248.747300000003</v>
      </c>
      <c r="D49" s="58">
        <v>4.8999999999999998E-3</v>
      </c>
      <c r="E49">
        <f t="shared" si="6"/>
        <v>4434.7555130896963</v>
      </c>
      <c r="F49">
        <f t="shared" si="7"/>
        <v>4435</v>
      </c>
      <c r="G49">
        <f t="shared" si="8"/>
        <v>-0.96158999999170192</v>
      </c>
      <c r="K49">
        <f t="shared" si="9"/>
        <v>-0.96158999999170192</v>
      </c>
      <c r="O49">
        <f t="shared" ca="1" si="10"/>
        <v>0.20436149669112019</v>
      </c>
      <c r="Q49" s="2">
        <f t="shared" si="11"/>
        <v>44230.247300000003</v>
      </c>
      <c r="R49" t="s">
        <v>65</v>
      </c>
    </row>
    <row r="50" spans="1:18" x14ac:dyDescent="0.2">
      <c r="A50" s="58" t="s">
        <v>188</v>
      </c>
      <c r="B50" s="59" t="s">
        <v>45</v>
      </c>
      <c r="C50" s="61">
        <v>59297.585200000001</v>
      </c>
      <c r="D50" s="58">
        <v>4.8999999999999998E-3</v>
      </c>
      <c r="E50">
        <f t="shared" si="6"/>
        <v>4447.1726838972072</v>
      </c>
      <c r="F50">
        <f t="shared" si="7"/>
        <v>4447</v>
      </c>
      <c r="G50">
        <f t="shared" si="8"/>
        <v>0.67918200000713114</v>
      </c>
      <c r="K50">
        <f t="shared" si="9"/>
        <v>0.67918200000713114</v>
      </c>
      <c r="O50">
        <f t="shared" ca="1" si="10"/>
        <v>0.20526973272228305</v>
      </c>
      <c r="Q50" s="2">
        <f t="shared" si="11"/>
        <v>44279.085200000001</v>
      </c>
      <c r="R50" t="s">
        <v>65</v>
      </c>
    </row>
    <row r="51" spans="1:18" x14ac:dyDescent="0.2">
      <c r="A51" s="58" t="s">
        <v>188</v>
      </c>
      <c r="B51" s="59" t="s">
        <v>45</v>
      </c>
      <c r="C51" s="61">
        <v>59297.648500000003</v>
      </c>
      <c r="D51" s="58">
        <v>4.8999999999999998E-3</v>
      </c>
      <c r="E51">
        <f t="shared" si="6"/>
        <v>4447.1887780968382</v>
      </c>
      <c r="F51">
        <f t="shared" si="7"/>
        <v>4447</v>
      </c>
      <c r="G51">
        <f t="shared" si="8"/>
        <v>0.74248200000874931</v>
      </c>
      <c r="K51">
        <f t="shared" si="9"/>
        <v>0.74248200000874931</v>
      </c>
      <c r="O51">
        <f t="shared" ca="1" si="10"/>
        <v>0.20526973272228305</v>
      </c>
      <c r="Q51" s="2">
        <f t="shared" si="11"/>
        <v>44279.148500000003</v>
      </c>
      <c r="R51" t="s">
        <v>65</v>
      </c>
    </row>
    <row r="52" spans="1:18" x14ac:dyDescent="0.2">
      <c r="A52" s="58" t="s">
        <v>188</v>
      </c>
      <c r="B52" s="59" t="s">
        <v>45</v>
      </c>
      <c r="C52" s="61">
        <v>59297.711000000003</v>
      </c>
      <c r="D52" s="58">
        <v>4.8999999999999998E-3</v>
      </c>
      <c r="E52">
        <f t="shared" si="6"/>
        <v>4447.204668894261</v>
      </c>
      <c r="F52">
        <f t="shared" si="7"/>
        <v>4447</v>
      </c>
      <c r="G52">
        <f t="shared" si="8"/>
        <v>0.80498200000874931</v>
      </c>
      <c r="K52">
        <f t="shared" si="9"/>
        <v>0.80498200000874931</v>
      </c>
      <c r="O52">
        <f t="shared" ca="1" si="10"/>
        <v>0.20526973272228305</v>
      </c>
      <c r="Q52" s="2">
        <f t="shared" si="11"/>
        <v>44279.211000000003</v>
      </c>
      <c r="R52" t="s">
        <v>65</v>
      </c>
    </row>
    <row r="53" spans="1:18" x14ac:dyDescent="0.2">
      <c r="A53" s="58" t="s">
        <v>188</v>
      </c>
      <c r="B53" s="59" t="s">
        <v>45</v>
      </c>
      <c r="C53" s="61">
        <v>59340.4228</v>
      </c>
      <c r="D53" s="58">
        <v>4.8999999999999998E-3</v>
      </c>
      <c r="E53">
        <f t="shared" si="6"/>
        <v>4458.064261876274</v>
      </c>
      <c r="F53">
        <f t="shared" si="7"/>
        <v>4458</v>
      </c>
      <c r="G53">
        <f t="shared" si="8"/>
        <v>0.25274799999897368</v>
      </c>
      <c r="K53">
        <f t="shared" si="9"/>
        <v>0.25274799999897368</v>
      </c>
      <c r="O53">
        <f t="shared" ca="1" si="10"/>
        <v>0.20610228241751566</v>
      </c>
      <c r="Q53" s="2">
        <f t="shared" si="11"/>
        <v>44321.9228</v>
      </c>
      <c r="R53" t="s">
        <v>65</v>
      </c>
    </row>
    <row r="54" spans="1:18" x14ac:dyDescent="0.2">
      <c r="A54" s="58" t="s">
        <v>188</v>
      </c>
      <c r="B54" s="59" t="s">
        <v>45</v>
      </c>
      <c r="C54" s="61">
        <v>59340.483099999998</v>
      </c>
      <c r="D54" s="58">
        <v>4.8999999999999998E-3</v>
      </c>
      <c r="E54">
        <f t="shared" si="6"/>
        <v>4458.0795933176269</v>
      </c>
      <c r="F54">
        <f t="shared" si="7"/>
        <v>4458</v>
      </c>
      <c r="G54">
        <f t="shared" si="8"/>
        <v>0.3130479999963427</v>
      </c>
      <c r="K54">
        <f t="shared" si="9"/>
        <v>0.3130479999963427</v>
      </c>
      <c r="O54">
        <f t="shared" ca="1" si="10"/>
        <v>0.20610228241751566</v>
      </c>
      <c r="Q54" s="2">
        <f t="shared" si="11"/>
        <v>44321.983099999998</v>
      </c>
      <c r="R54" t="s">
        <v>65</v>
      </c>
    </row>
    <row r="55" spans="1:18" x14ac:dyDescent="0.2">
      <c r="A55" s="58" t="s">
        <v>188</v>
      </c>
      <c r="B55" s="59" t="s">
        <v>45</v>
      </c>
      <c r="C55" s="61">
        <v>59340.545400000003</v>
      </c>
      <c r="D55" s="58">
        <v>4.8999999999999998E-3</v>
      </c>
      <c r="E55">
        <f t="shared" si="6"/>
        <v>4458.0954332644997</v>
      </c>
      <c r="F55">
        <f t="shared" si="7"/>
        <v>4458</v>
      </c>
      <c r="G55">
        <f t="shared" si="8"/>
        <v>0.37534800000139512</v>
      </c>
      <c r="K55">
        <f t="shared" si="9"/>
        <v>0.37534800000139512</v>
      </c>
      <c r="O55">
        <f t="shared" ca="1" si="10"/>
        <v>0.20610228241751566</v>
      </c>
      <c r="Q55" s="2">
        <f t="shared" si="11"/>
        <v>44322.045400000003</v>
      </c>
      <c r="R55" t="s">
        <v>65</v>
      </c>
    </row>
    <row r="56" spans="1:18" x14ac:dyDescent="0.2">
      <c r="A56" s="58" t="s">
        <v>188</v>
      </c>
      <c r="B56" s="59" t="s">
        <v>45</v>
      </c>
      <c r="C56" s="61">
        <v>59340.605600000003</v>
      </c>
      <c r="D56" s="58">
        <v>4.8999999999999998E-3</v>
      </c>
      <c r="E56">
        <f t="shared" si="6"/>
        <v>4458.1107392805779</v>
      </c>
      <c r="F56">
        <f t="shared" si="7"/>
        <v>4458</v>
      </c>
      <c r="G56">
        <f t="shared" si="8"/>
        <v>0.43554800000129035</v>
      </c>
      <c r="K56">
        <f t="shared" si="9"/>
        <v>0.43554800000129035</v>
      </c>
      <c r="O56">
        <f t="shared" ca="1" si="10"/>
        <v>0.20610228241751566</v>
      </c>
      <c r="Q56" s="2">
        <f t="shared" si="11"/>
        <v>44322.105600000003</v>
      </c>
      <c r="R56" t="s">
        <v>65</v>
      </c>
    </row>
    <row r="57" spans="1:18" x14ac:dyDescent="0.2">
      <c r="A57" s="58" t="s">
        <v>188</v>
      </c>
      <c r="B57" s="59" t="s">
        <v>45</v>
      </c>
      <c r="C57" s="61">
        <v>59340.668899999997</v>
      </c>
      <c r="D57" s="58">
        <v>4.8999999999999998E-3</v>
      </c>
      <c r="E57">
        <f t="shared" si="6"/>
        <v>4458.1268334802062</v>
      </c>
      <c r="F57">
        <f t="shared" si="7"/>
        <v>4458</v>
      </c>
      <c r="G57">
        <f t="shared" si="8"/>
        <v>0.49884799999563256</v>
      </c>
      <c r="K57">
        <f t="shared" si="9"/>
        <v>0.49884799999563256</v>
      </c>
      <c r="O57">
        <f t="shared" ca="1" si="10"/>
        <v>0.20610228241751566</v>
      </c>
      <c r="Q57" s="2">
        <f t="shared" si="11"/>
        <v>44322.168899999997</v>
      </c>
      <c r="R57" t="s">
        <v>65</v>
      </c>
    </row>
    <row r="58" spans="1:18" x14ac:dyDescent="0.2">
      <c r="A58" s="58" t="s">
        <v>188</v>
      </c>
      <c r="B58" s="59" t="s">
        <v>45</v>
      </c>
      <c r="C58" s="61">
        <v>59364.4427</v>
      </c>
      <c r="D58" s="58">
        <v>4.8999999999999998E-3</v>
      </c>
      <c r="E58">
        <f t="shared" si="6"/>
        <v>4464.171387716643</v>
      </c>
      <c r="F58">
        <f t="shared" si="7"/>
        <v>4464</v>
      </c>
      <c r="G58">
        <f t="shared" si="8"/>
        <v>0.67408399999840185</v>
      </c>
      <c r="K58">
        <f t="shared" si="9"/>
        <v>0.67408399999840185</v>
      </c>
      <c r="O58">
        <f t="shared" ca="1" si="10"/>
        <v>0.20655640043309709</v>
      </c>
      <c r="Q58" s="2">
        <f t="shared" si="11"/>
        <v>44345.9427</v>
      </c>
      <c r="R58" t="s">
        <v>65</v>
      </c>
    </row>
    <row r="59" spans="1:18" x14ac:dyDescent="0.2">
      <c r="A59" s="58" t="s">
        <v>188</v>
      </c>
      <c r="B59" s="59" t="s">
        <v>45</v>
      </c>
      <c r="C59" s="61">
        <v>59364.507100000003</v>
      </c>
      <c r="D59" s="58">
        <v>4.8999999999999998E-3</v>
      </c>
      <c r="E59">
        <f t="shared" si="6"/>
        <v>4464.1877615943085</v>
      </c>
      <c r="F59">
        <f t="shared" si="7"/>
        <v>4464</v>
      </c>
      <c r="G59">
        <f t="shared" si="8"/>
        <v>0.73848400000133552</v>
      </c>
      <c r="K59">
        <f t="shared" si="9"/>
        <v>0.73848400000133552</v>
      </c>
      <c r="O59">
        <f t="shared" ca="1" si="10"/>
        <v>0.20655640043309709</v>
      </c>
      <c r="Q59" s="2">
        <f t="shared" si="11"/>
        <v>44346.007100000003</v>
      </c>
      <c r="R59" t="s">
        <v>65</v>
      </c>
    </row>
    <row r="60" spans="1:18" x14ac:dyDescent="0.2">
      <c r="A60" s="58" t="s">
        <v>188</v>
      </c>
      <c r="B60" s="59" t="s">
        <v>45</v>
      </c>
      <c r="C60" s="61">
        <v>59400.416700000002</v>
      </c>
      <c r="D60" s="58">
        <v>4.8999999999999998E-3</v>
      </c>
      <c r="E60">
        <f t="shared" si="6"/>
        <v>4473.3178764606191</v>
      </c>
      <c r="F60">
        <f t="shared" si="7"/>
        <v>4473.5</v>
      </c>
      <c r="G60">
        <f t="shared" si="8"/>
        <v>-0.71630899999581743</v>
      </c>
      <c r="K60">
        <f t="shared" si="9"/>
        <v>-0.71630899999581743</v>
      </c>
      <c r="O60">
        <f t="shared" ca="1" si="10"/>
        <v>0.20727542062443433</v>
      </c>
      <c r="Q60" s="2">
        <f t="shared" si="11"/>
        <v>44381.916700000002</v>
      </c>
      <c r="R60" t="s">
        <v>65</v>
      </c>
    </row>
    <row r="61" spans="1:18" x14ac:dyDescent="0.2">
      <c r="A61" s="58" t="s">
        <v>188</v>
      </c>
      <c r="B61" s="59" t="s">
        <v>45</v>
      </c>
      <c r="C61" s="61">
        <v>59628.620499999997</v>
      </c>
      <c r="D61" s="58">
        <v>4.8999999999999998E-3</v>
      </c>
      <c r="E61">
        <f t="shared" si="6"/>
        <v>4531.3393221723145</v>
      </c>
      <c r="F61">
        <f t="shared" si="7"/>
        <v>4531.5</v>
      </c>
      <c r="G61">
        <f t="shared" si="8"/>
        <v>-0.63196099999913713</v>
      </c>
      <c r="K61">
        <f t="shared" si="9"/>
        <v>-0.63196099999913713</v>
      </c>
      <c r="O61">
        <f t="shared" ca="1" si="10"/>
        <v>0.21166522810838817</v>
      </c>
      <c r="Q61" s="2">
        <f t="shared" si="11"/>
        <v>44610.120499999997</v>
      </c>
      <c r="R61" t="s">
        <v>65</v>
      </c>
    </row>
    <row r="62" spans="1:18" x14ac:dyDescent="0.2">
      <c r="A62" s="58" t="s">
        <v>188</v>
      </c>
      <c r="B62" s="59" t="s">
        <v>45</v>
      </c>
      <c r="C62" s="61">
        <v>59628.684500000003</v>
      </c>
      <c r="D62" s="58">
        <v>4.8999999999999998E-3</v>
      </c>
      <c r="E62">
        <f t="shared" si="6"/>
        <v>4531.3555943488773</v>
      </c>
      <c r="F62">
        <f t="shared" si="7"/>
        <v>4531.5</v>
      </c>
      <c r="G62">
        <f t="shared" si="8"/>
        <v>-0.56796099999337457</v>
      </c>
      <c r="K62">
        <f t="shared" si="9"/>
        <v>-0.56796099999337457</v>
      </c>
      <c r="O62">
        <f t="shared" ca="1" si="10"/>
        <v>0.21166522810838817</v>
      </c>
      <c r="Q62" s="2">
        <f t="shared" si="11"/>
        <v>44610.184500000003</v>
      </c>
      <c r="R62" t="s">
        <v>65</v>
      </c>
    </row>
    <row r="63" spans="1:18" x14ac:dyDescent="0.2">
      <c r="A63" s="58" t="s">
        <v>188</v>
      </c>
      <c r="B63" s="59" t="s">
        <v>45</v>
      </c>
      <c r="C63" s="61">
        <v>59708.411699999997</v>
      </c>
      <c r="D63" s="58">
        <v>4.8999999999999998E-3</v>
      </c>
      <c r="E63">
        <f t="shared" si="6"/>
        <v>4551.6264548978488</v>
      </c>
      <c r="F63">
        <f t="shared" si="7"/>
        <v>4551.5</v>
      </c>
      <c r="G63">
        <f t="shared" si="8"/>
        <v>0.49735900000086986</v>
      </c>
      <c r="K63">
        <f t="shared" si="9"/>
        <v>0.49735900000086986</v>
      </c>
      <c r="O63">
        <f t="shared" ca="1" si="10"/>
        <v>0.21317895482699289</v>
      </c>
      <c r="Q63" s="2">
        <f t="shared" si="11"/>
        <v>44689.911699999997</v>
      </c>
      <c r="R63" t="s">
        <v>65</v>
      </c>
    </row>
    <row r="64" spans="1:18" x14ac:dyDescent="0.2">
      <c r="A64" s="58" t="s">
        <v>188</v>
      </c>
      <c r="B64" s="59" t="s">
        <v>45</v>
      </c>
      <c r="C64" s="61">
        <v>59708.474199999997</v>
      </c>
      <c r="D64" s="58">
        <v>4.8999999999999998E-3</v>
      </c>
      <c r="E64">
        <f t="shared" si="6"/>
        <v>4551.6423456952716</v>
      </c>
      <c r="F64">
        <f t="shared" si="7"/>
        <v>4551.5</v>
      </c>
      <c r="G64">
        <f t="shared" si="8"/>
        <v>0.55985900000086986</v>
      </c>
      <c r="K64">
        <f t="shared" si="9"/>
        <v>0.55985900000086986</v>
      </c>
      <c r="O64">
        <f t="shared" ca="1" si="10"/>
        <v>0.21317895482699289</v>
      </c>
      <c r="Q64" s="2">
        <f t="shared" si="11"/>
        <v>44689.974199999997</v>
      </c>
      <c r="R64" t="s">
        <v>65</v>
      </c>
    </row>
    <row r="65" spans="1:18" x14ac:dyDescent="0.2">
      <c r="A65" s="58" t="s">
        <v>188</v>
      </c>
      <c r="B65" s="59" t="s">
        <v>45</v>
      </c>
      <c r="C65" s="61">
        <v>59708.534800000001</v>
      </c>
      <c r="D65" s="58">
        <v>4.8999999999999998E-3</v>
      </c>
      <c r="E65">
        <f t="shared" si="6"/>
        <v>4551.6577534124544</v>
      </c>
      <c r="F65">
        <f t="shared" si="7"/>
        <v>4551.5</v>
      </c>
      <c r="G65">
        <f t="shared" si="8"/>
        <v>0.62045900000521215</v>
      </c>
      <c r="K65">
        <f t="shared" si="9"/>
        <v>0.62045900000521215</v>
      </c>
      <c r="O65">
        <f t="shared" ca="1" si="10"/>
        <v>0.21317895482699289</v>
      </c>
      <c r="Q65" s="2">
        <f t="shared" si="11"/>
        <v>44690.034800000001</v>
      </c>
      <c r="R65" t="s">
        <v>65</v>
      </c>
    </row>
    <row r="66" spans="1:18" x14ac:dyDescent="0.2">
      <c r="A66" s="58" t="s">
        <v>188</v>
      </c>
      <c r="B66" s="59" t="s">
        <v>45</v>
      </c>
      <c r="C66" s="61">
        <v>59708.595500000003</v>
      </c>
      <c r="D66" s="58">
        <v>4.8999999999999998E-3</v>
      </c>
      <c r="E66">
        <f t="shared" si="6"/>
        <v>4551.6731865549118</v>
      </c>
      <c r="F66">
        <f t="shared" si="7"/>
        <v>4551.5</v>
      </c>
      <c r="G66">
        <f t="shared" si="8"/>
        <v>0.68115900000702823</v>
      </c>
      <c r="K66">
        <f t="shared" si="9"/>
        <v>0.68115900000702823</v>
      </c>
      <c r="O66">
        <f t="shared" ca="1" si="10"/>
        <v>0.21317895482699289</v>
      </c>
      <c r="Q66" s="2">
        <f t="shared" si="11"/>
        <v>44690.095500000003</v>
      </c>
      <c r="R66" t="s">
        <v>65</v>
      </c>
    </row>
    <row r="67" spans="1:18" x14ac:dyDescent="0.2">
      <c r="A67" s="58" t="s">
        <v>188</v>
      </c>
      <c r="B67" s="59" t="s">
        <v>45</v>
      </c>
      <c r="C67" s="61">
        <v>59708.659800000001</v>
      </c>
      <c r="D67" s="58">
        <v>4.8999999999999998E-3</v>
      </c>
      <c r="E67">
        <f t="shared" si="6"/>
        <v>4551.6895350073</v>
      </c>
      <c r="F67">
        <f t="shared" si="7"/>
        <v>4551.5</v>
      </c>
      <c r="G67">
        <f t="shared" si="8"/>
        <v>0.74545900000521215</v>
      </c>
      <c r="K67">
        <f t="shared" si="9"/>
        <v>0.74545900000521215</v>
      </c>
      <c r="O67">
        <f t="shared" ca="1" si="10"/>
        <v>0.21317895482699289</v>
      </c>
      <c r="Q67" s="2">
        <f t="shared" si="11"/>
        <v>44690.159800000001</v>
      </c>
      <c r="R67" t="s">
        <v>65</v>
      </c>
    </row>
    <row r="68" spans="1:18" x14ac:dyDescent="0.2">
      <c r="C68" s="62"/>
    </row>
  </sheetData>
  <sortState xmlns:xlrd2="http://schemas.microsoft.com/office/spreadsheetml/2017/richdata2" ref="A21:U47">
    <sortCondition ref="C21:C47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08"/>
  <sheetViews>
    <sheetView workbookViewId="0">
      <selection activeCell="A29" sqref="A29:D34"/>
    </sheetView>
  </sheetViews>
  <sheetFormatPr defaultRowHeight="12.75" x14ac:dyDescent="0.2"/>
  <cols>
    <col min="1" max="1" width="19.7109375" style="16" customWidth="1"/>
    <col min="2" max="2" width="4.42578125" style="11" customWidth="1"/>
    <col min="3" max="3" width="12.7109375" style="16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16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42" t="s">
        <v>63</v>
      </c>
      <c r="I1" s="43" t="s">
        <v>64</v>
      </c>
      <c r="J1" s="44" t="s">
        <v>65</v>
      </c>
    </row>
    <row r="2" spans="1:16" x14ac:dyDescent="0.2">
      <c r="I2" s="45" t="s">
        <v>66</v>
      </c>
      <c r="J2" s="46" t="s">
        <v>67</v>
      </c>
    </row>
    <row r="3" spans="1:16" x14ac:dyDescent="0.2">
      <c r="A3" s="47" t="s">
        <v>68</v>
      </c>
      <c r="I3" s="45" t="s">
        <v>69</v>
      </c>
      <c r="J3" s="46" t="s">
        <v>70</v>
      </c>
    </row>
    <row r="4" spans="1:16" x14ac:dyDescent="0.2">
      <c r="I4" s="45" t="s">
        <v>71</v>
      </c>
      <c r="J4" s="46" t="s">
        <v>70</v>
      </c>
    </row>
    <row r="5" spans="1:16" ht="13.5" thickBot="1" x14ac:dyDescent="0.25">
      <c r="I5" s="48" t="s">
        <v>72</v>
      </c>
      <c r="J5" s="49" t="s">
        <v>73</v>
      </c>
    </row>
    <row r="10" spans="1:16" ht="13.5" thickBot="1" x14ac:dyDescent="0.25"/>
    <row r="11" spans="1:16" ht="12.75" customHeight="1" thickBot="1" x14ac:dyDescent="0.25">
      <c r="A11" s="16" t="str">
        <f t="shared" ref="A11:A34" si="0">P11</f>
        <v>IBVS 35 </v>
      </c>
      <c r="B11" s="5" t="str">
        <f t="shared" ref="B11:B34" si="1">IF(H11=INT(H11),"I","II")</f>
        <v>I</v>
      </c>
      <c r="C11" s="16">
        <f t="shared" ref="C11:C34" si="2">1*G11</f>
        <v>38290.269999999997</v>
      </c>
      <c r="D11" s="11" t="str">
        <f t="shared" ref="D11:D34" si="3">VLOOKUP(F11,I$1:J$5,2,FALSE)</f>
        <v>vis</v>
      </c>
      <c r="E11" s="50">
        <f>VLOOKUP(C11,Active!C$21:E$973,3,FALSE)</f>
        <v>-893.99516004448435</v>
      </c>
      <c r="F11" s="5" t="s">
        <v>72</v>
      </c>
      <c r="G11" s="11" t="str">
        <f t="shared" ref="G11:G34" si="4">MID(I11,3,LEN(I11)-3)</f>
        <v>38290.270</v>
      </c>
      <c r="H11" s="16">
        <f t="shared" ref="H11:H34" si="5">1*K11</f>
        <v>-3613</v>
      </c>
      <c r="I11" s="51" t="s">
        <v>95</v>
      </c>
      <c r="J11" s="52" t="s">
        <v>96</v>
      </c>
      <c r="K11" s="51">
        <v>-3613</v>
      </c>
      <c r="L11" s="51" t="s">
        <v>97</v>
      </c>
      <c r="M11" s="52" t="s">
        <v>87</v>
      </c>
      <c r="N11" s="52"/>
      <c r="O11" s="53" t="s">
        <v>98</v>
      </c>
      <c r="P11" s="54" t="s">
        <v>99</v>
      </c>
    </row>
    <row r="12" spans="1:16" ht="12.75" customHeight="1" thickBot="1" x14ac:dyDescent="0.25">
      <c r="A12" s="16" t="str">
        <f t="shared" si="0"/>
        <v> BBS 9 </v>
      </c>
      <c r="B12" s="5" t="str">
        <f t="shared" si="1"/>
        <v>I</v>
      </c>
      <c r="C12" s="16">
        <f t="shared" si="2"/>
        <v>41806.410000000003</v>
      </c>
      <c r="D12" s="11" t="str">
        <f t="shared" si="3"/>
        <v>vis</v>
      </c>
      <c r="E12" s="50">
        <f>VLOOKUP(C12,Active!C$21:E$973,3,FALSE)</f>
        <v>-6.8648244854017442E-3</v>
      </c>
      <c r="F12" s="5" t="s">
        <v>72</v>
      </c>
      <c r="G12" s="11" t="str">
        <f t="shared" si="4"/>
        <v>41806.410</v>
      </c>
      <c r="H12" s="16">
        <f t="shared" si="5"/>
        <v>-2719</v>
      </c>
      <c r="I12" s="51" t="s">
        <v>100</v>
      </c>
      <c r="J12" s="52" t="s">
        <v>101</v>
      </c>
      <c r="K12" s="51">
        <v>-2719</v>
      </c>
      <c r="L12" s="51" t="s">
        <v>102</v>
      </c>
      <c r="M12" s="52" t="s">
        <v>87</v>
      </c>
      <c r="N12" s="52"/>
      <c r="O12" s="53" t="s">
        <v>103</v>
      </c>
      <c r="P12" s="53" t="s">
        <v>104</v>
      </c>
    </row>
    <row r="13" spans="1:16" ht="12.75" customHeight="1" thickBot="1" x14ac:dyDescent="0.25">
      <c r="A13" s="16" t="str">
        <f t="shared" si="0"/>
        <v> BBS 23 </v>
      </c>
      <c r="B13" s="5" t="str">
        <f t="shared" si="1"/>
        <v>I</v>
      </c>
      <c r="C13" s="16">
        <f t="shared" si="2"/>
        <v>42628.419000000002</v>
      </c>
      <c r="D13" s="11" t="str">
        <f t="shared" si="3"/>
        <v>vis</v>
      </c>
      <c r="E13" s="50">
        <f>VLOOKUP(C13,Active!C$21:E$973,3,FALSE)</f>
        <v>208.99119115892057</v>
      </c>
      <c r="F13" s="5" t="s">
        <v>72</v>
      </c>
      <c r="G13" s="11" t="str">
        <f t="shared" si="4"/>
        <v>42628.419</v>
      </c>
      <c r="H13" s="16">
        <f t="shared" si="5"/>
        <v>-2510</v>
      </c>
      <c r="I13" s="51" t="s">
        <v>105</v>
      </c>
      <c r="J13" s="52" t="s">
        <v>106</v>
      </c>
      <c r="K13" s="51">
        <v>-2510</v>
      </c>
      <c r="L13" s="51" t="s">
        <v>74</v>
      </c>
      <c r="M13" s="52" t="s">
        <v>87</v>
      </c>
      <c r="N13" s="52"/>
      <c r="O13" s="53" t="s">
        <v>107</v>
      </c>
      <c r="P13" s="53" t="s">
        <v>108</v>
      </c>
    </row>
    <row r="14" spans="1:16" ht="12.75" customHeight="1" thickBot="1" x14ac:dyDescent="0.25">
      <c r="A14" s="16" t="str">
        <f t="shared" si="0"/>
        <v> BBS 23 </v>
      </c>
      <c r="B14" s="5" t="str">
        <f t="shared" si="1"/>
        <v>I</v>
      </c>
      <c r="C14" s="16">
        <f t="shared" si="2"/>
        <v>43623.51</v>
      </c>
      <c r="D14" s="11" t="str">
        <f t="shared" si="3"/>
        <v>vis</v>
      </c>
      <c r="E14" s="50">
        <f>VLOOKUP(C14,Active!C$21:E$973,3,FALSE)</f>
        <v>461.99582313567993</v>
      </c>
      <c r="F14" s="5" t="s">
        <v>72</v>
      </c>
      <c r="G14" s="11" t="str">
        <f t="shared" si="4"/>
        <v>43623.510</v>
      </c>
      <c r="H14" s="16">
        <f t="shared" si="5"/>
        <v>-2257</v>
      </c>
      <c r="I14" s="51" t="s">
        <v>109</v>
      </c>
      <c r="J14" s="52" t="s">
        <v>110</v>
      </c>
      <c r="K14" s="51">
        <v>-2257</v>
      </c>
      <c r="L14" s="51" t="s">
        <v>111</v>
      </c>
      <c r="M14" s="52" t="s">
        <v>87</v>
      </c>
      <c r="N14" s="52"/>
      <c r="O14" s="53" t="s">
        <v>103</v>
      </c>
      <c r="P14" s="53" t="s">
        <v>108</v>
      </c>
    </row>
    <row r="15" spans="1:16" ht="12.75" customHeight="1" thickBot="1" x14ac:dyDescent="0.25">
      <c r="A15" s="16" t="str">
        <f t="shared" si="0"/>
        <v> BRNO 30 </v>
      </c>
      <c r="B15" s="5" t="str">
        <f t="shared" si="1"/>
        <v>I</v>
      </c>
      <c r="C15" s="16">
        <f t="shared" si="2"/>
        <v>47387.432999999997</v>
      </c>
      <c r="D15" s="11" t="str">
        <f t="shared" si="3"/>
        <v>vis</v>
      </c>
      <c r="E15" s="50">
        <f>VLOOKUP(C15,Active!C$21:E$973,3,FALSE)</f>
        <v>1418.9836296818737</v>
      </c>
      <c r="F15" s="5" t="s">
        <v>72</v>
      </c>
      <c r="G15" s="11" t="str">
        <f t="shared" si="4"/>
        <v>47387.433</v>
      </c>
      <c r="H15" s="16">
        <f t="shared" si="5"/>
        <v>-1300</v>
      </c>
      <c r="I15" s="51" t="s">
        <v>112</v>
      </c>
      <c r="J15" s="52" t="s">
        <v>113</v>
      </c>
      <c r="K15" s="51">
        <v>-1300</v>
      </c>
      <c r="L15" s="51" t="s">
        <v>114</v>
      </c>
      <c r="M15" s="52" t="s">
        <v>87</v>
      </c>
      <c r="N15" s="52"/>
      <c r="O15" s="53" t="s">
        <v>115</v>
      </c>
      <c r="P15" s="53" t="s">
        <v>116</v>
      </c>
    </row>
    <row r="16" spans="1:16" ht="12.75" customHeight="1" thickBot="1" x14ac:dyDescent="0.25">
      <c r="A16" s="16" t="str">
        <f t="shared" si="0"/>
        <v> BRNO 31 </v>
      </c>
      <c r="B16" s="5" t="str">
        <f t="shared" si="1"/>
        <v>I</v>
      </c>
      <c r="C16" s="16">
        <f t="shared" si="2"/>
        <v>47969.525000000001</v>
      </c>
      <c r="D16" s="11" t="str">
        <f t="shared" si="3"/>
        <v>vis</v>
      </c>
      <c r="E16" s="50">
        <f>VLOOKUP(C16,Active!C$21:E$973,3,FALSE)</f>
        <v>1566.9821265395649</v>
      </c>
      <c r="F16" s="5" t="s">
        <v>72</v>
      </c>
      <c r="G16" s="11" t="str">
        <f t="shared" si="4"/>
        <v>47969.525</v>
      </c>
      <c r="H16" s="16">
        <f t="shared" si="5"/>
        <v>-1152</v>
      </c>
      <c r="I16" s="51" t="s">
        <v>117</v>
      </c>
      <c r="J16" s="52" t="s">
        <v>118</v>
      </c>
      <c r="K16" s="51">
        <v>-1152</v>
      </c>
      <c r="L16" s="51" t="s">
        <v>119</v>
      </c>
      <c r="M16" s="52" t="s">
        <v>87</v>
      </c>
      <c r="N16" s="52"/>
      <c r="O16" s="53" t="s">
        <v>120</v>
      </c>
      <c r="P16" s="53" t="s">
        <v>121</v>
      </c>
    </row>
    <row r="17" spans="1:16" ht="12.75" customHeight="1" thickBot="1" x14ac:dyDescent="0.25">
      <c r="A17" s="16" t="str">
        <f t="shared" si="0"/>
        <v> BBS 98 </v>
      </c>
      <c r="B17" s="5" t="str">
        <f t="shared" si="1"/>
        <v>I</v>
      </c>
      <c r="C17" s="16">
        <f t="shared" si="2"/>
        <v>48390.428999999996</v>
      </c>
      <c r="D17" s="11" t="str">
        <f t="shared" si="3"/>
        <v>vis</v>
      </c>
      <c r="E17" s="50">
        <f>VLOOKUP(C17,Active!C$21:E$973,3,FALSE)</f>
        <v>1673.998129716706</v>
      </c>
      <c r="F17" s="5" t="s">
        <v>72</v>
      </c>
      <c r="G17" s="11" t="str">
        <f t="shared" si="4"/>
        <v>48390.429</v>
      </c>
      <c r="H17" s="16">
        <f t="shared" si="5"/>
        <v>-1045</v>
      </c>
      <c r="I17" s="51" t="s">
        <v>122</v>
      </c>
      <c r="J17" s="52" t="s">
        <v>123</v>
      </c>
      <c r="K17" s="51">
        <v>-1045</v>
      </c>
      <c r="L17" s="51" t="s">
        <v>124</v>
      </c>
      <c r="M17" s="52" t="s">
        <v>87</v>
      </c>
      <c r="N17" s="52"/>
      <c r="O17" s="53" t="s">
        <v>125</v>
      </c>
      <c r="P17" s="53" t="s">
        <v>126</v>
      </c>
    </row>
    <row r="18" spans="1:16" ht="12.75" customHeight="1" thickBot="1" x14ac:dyDescent="0.25">
      <c r="A18" s="16" t="str">
        <f t="shared" si="0"/>
        <v> BBS 98 </v>
      </c>
      <c r="B18" s="5" t="str">
        <f t="shared" si="1"/>
        <v>I</v>
      </c>
      <c r="C18" s="16">
        <f t="shared" si="2"/>
        <v>48449.402999999998</v>
      </c>
      <c r="D18" s="11" t="str">
        <f t="shared" si="3"/>
        <v>vis</v>
      </c>
      <c r="E18" s="50">
        <f>VLOOKUP(C18,Active!C$21:E$973,3,FALSE)</f>
        <v>1688.9924319123825</v>
      </c>
      <c r="F18" s="5" t="s">
        <v>72</v>
      </c>
      <c r="G18" s="11" t="str">
        <f t="shared" si="4"/>
        <v>48449.403</v>
      </c>
      <c r="H18" s="16">
        <f t="shared" si="5"/>
        <v>-1030</v>
      </c>
      <c r="I18" s="51" t="s">
        <v>127</v>
      </c>
      <c r="J18" s="52" t="s">
        <v>128</v>
      </c>
      <c r="K18" s="51">
        <v>-1030</v>
      </c>
      <c r="L18" s="51" t="s">
        <v>129</v>
      </c>
      <c r="M18" s="52" t="s">
        <v>87</v>
      </c>
      <c r="N18" s="52"/>
      <c r="O18" s="53" t="s">
        <v>125</v>
      </c>
      <c r="P18" s="53" t="s">
        <v>126</v>
      </c>
    </row>
    <row r="19" spans="1:16" ht="12.75" customHeight="1" thickBot="1" x14ac:dyDescent="0.25">
      <c r="A19" s="16" t="str">
        <f t="shared" si="0"/>
        <v> BBS 101 </v>
      </c>
      <c r="B19" s="5" t="str">
        <f t="shared" si="1"/>
        <v>I</v>
      </c>
      <c r="C19" s="16">
        <f t="shared" si="2"/>
        <v>48803.402000000002</v>
      </c>
      <c r="D19" s="11" t="str">
        <f t="shared" si="3"/>
        <v>vis</v>
      </c>
      <c r="E19" s="50">
        <f>VLOOKUP(C19,Active!C$21:E$973,3,FALSE)</f>
        <v>1778.9976542640486</v>
      </c>
      <c r="F19" s="5" t="s">
        <v>72</v>
      </c>
      <c r="G19" s="11" t="str">
        <f t="shared" si="4"/>
        <v>48803.402</v>
      </c>
      <c r="H19" s="16">
        <f t="shared" si="5"/>
        <v>-940</v>
      </c>
      <c r="I19" s="51" t="s">
        <v>130</v>
      </c>
      <c r="J19" s="52" t="s">
        <v>131</v>
      </c>
      <c r="K19" s="51">
        <v>-940</v>
      </c>
      <c r="L19" s="51" t="s">
        <v>132</v>
      </c>
      <c r="M19" s="52" t="s">
        <v>87</v>
      </c>
      <c r="N19" s="52"/>
      <c r="O19" s="53" t="s">
        <v>125</v>
      </c>
      <c r="P19" s="53" t="s">
        <v>133</v>
      </c>
    </row>
    <row r="20" spans="1:16" ht="12.75" customHeight="1" thickBot="1" x14ac:dyDescent="0.25">
      <c r="A20" s="16" t="str">
        <f t="shared" si="0"/>
        <v> BBS 104 </v>
      </c>
      <c r="B20" s="5" t="str">
        <f t="shared" si="1"/>
        <v>I</v>
      </c>
      <c r="C20" s="16">
        <f t="shared" si="2"/>
        <v>49098.37</v>
      </c>
      <c r="D20" s="11" t="str">
        <f t="shared" si="3"/>
        <v>vis</v>
      </c>
      <c r="E20" s="50">
        <f>VLOOKUP(C20,Active!C$21:E$973,3,FALSE)</f>
        <v>1853.9940820127879</v>
      </c>
      <c r="F20" s="5" t="s">
        <v>72</v>
      </c>
      <c r="G20" s="11" t="str">
        <f t="shared" si="4"/>
        <v>49098.370</v>
      </c>
      <c r="H20" s="16">
        <f t="shared" si="5"/>
        <v>-865</v>
      </c>
      <c r="I20" s="51" t="s">
        <v>134</v>
      </c>
      <c r="J20" s="52" t="s">
        <v>135</v>
      </c>
      <c r="K20" s="51">
        <v>-865</v>
      </c>
      <c r="L20" s="51" t="s">
        <v>136</v>
      </c>
      <c r="M20" s="52" t="s">
        <v>87</v>
      </c>
      <c r="N20" s="52"/>
      <c r="O20" s="53" t="s">
        <v>125</v>
      </c>
      <c r="P20" s="53" t="s">
        <v>137</v>
      </c>
    </row>
    <row r="21" spans="1:16" ht="12.75" customHeight="1" thickBot="1" x14ac:dyDescent="0.25">
      <c r="A21" s="16" t="str">
        <f t="shared" si="0"/>
        <v> BBS 105 </v>
      </c>
      <c r="B21" s="5" t="str">
        <f t="shared" si="1"/>
        <v>I</v>
      </c>
      <c r="C21" s="16">
        <f t="shared" si="2"/>
        <v>49212.38</v>
      </c>
      <c r="D21" s="11" t="str">
        <f t="shared" si="3"/>
        <v>vis</v>
      </c>
      <c r="E21" s="50">
        <f>VLOOKUP(C21,Active!C$21:E$973,3,FALSE)</f>
        <v>1882.9814390401041</v>
      </c>
      <c r="F21" s="5" t="s">
        <v>72</v>
      </c>
      <c r="G21" s="11" t="str">
        <f t="shared" si="4"/>
        <v>49212.38</v>
      </c>
      <c r="H21" s="16">
        <f t="shared" si="5"/>
        <v>-836</v>
      </c>
      <c r="I21" s="51" t="s">
        <v>138</v>
      </c>
      <c r="J21" s="52" t="s">
        <v>139</v>
      </c>
      <c r="K21" s="51">
        <v>-836</v>
      </c>
      <c r="L21" s="51" t="s">
        <v>140</v>
      </c>
      <c r="M21" s="52" t="s">
        <v>141</v>
      </c>
      <c r="N21" s="52" t="s">
        <v>142</v>
      </c>
      <c r="O21" s="53" t="s">
        <v>143</v>
      </c>
      <c r="P21" s="53" t="s">
        <v>144</v>
      </c>
    </row>
    <row r="22" spans="1:16" ht="12.75" customHeight="1" thickBot="1" x14ac:dyDescent="0.25">
      <c r="A22" s="16" t="str">
        <f t="shared" si="0"/>
        <v> BBS 118 </v>
      </c>
      <c r="B22" s="5" t="str">
        <f t="shared" si="1"/>
        <v>I</v>
      </c>
      <c r="C22" s="16">
        <f t="shared" si="2"/>
        <v>50844.591</v>
      </c>
      <c r="D22" s="11" t="str">
        <f t="shared" si="3"/>
        <v>vis</v>
      </c>
      <c r="E22" s="50">
        <f>VLOOKUP(C22,Active!C$21:E$973,3,FALSE)</f>
        <v>2297.9755886841253</v>
      </c>
      <c r="F22" s="5" t="s">
        <v>72</v>
      </c>
      <c r="G22" s="11" t="str">
        <f t="shared" si="4"/>
        <v>50844.591</v>
      </c>
      <c r="H22" s="16">
        <f t="shared" si="5"/>
        <v>-421</v>
      </c>
      <c r="I22" s="51" t="s">
        <v>145</v>
      </c>
      <c r="J22" s="52" t="s">
        <v>146</v>
      </c>
      <c r="K22" s="51">
        <v>-421</v>
      </c>
      <c r="L22" s="51" t="s">
        <v>147</v>
      </c>
      <c r="M22" s="52" t="s">
        <v>141</v>
      </c>
      <c r="N22" s="52" t="s">
        <v>142</v>
      </c>
      <c r="O22" s="53" t="s">
        <v>143</v>
      </c>
      <c r="P22" s="53" t="s">
        <v>148</v>
      </c>
    </row>
    <row r="23" spans="1:16" ht="12.75" customHeight="1" thickBot="1" x14ac:dyDescent="0.25">
      <c r="A23" s="16" t="str">
        <f t="shared" si="0"/>
        <v> BBS 130 </v>
      </c>
      <c r="B23" s="5" t="str">
        <f t="shared" si="1"/>
        <v>I</v>
      </c>
      <c r="C23" s="16">
        <f t="shared" si="2"/>
        <v>53145.459000000003</v>
      </c>
      <c r="D23" s="11" t="str">
        <f t="shared" si="3"/>
        <v>vis</v>
      </c>
      <c r="E23" s="50">
        <f>VLOOKUP(C23,Active!C$21:E$973,3,FALSE)</f>
        <v>2882.9776252487241</v>
      </c>
      <c r="F23" s="5" t="s">
        <v>72</v>
      </c>
      <c r="G23" s="11" t="str">
        <f t="shared" si="4"/>
        <v>53145.459</v>
      </c>
      <c r="H23" s="16">
        <f t="shared" si="5"/>
        <v>164</v>
      </c>
      <c r="I23" s="51" t="s">
        <v>149</v>
      </c>
      <c r="J23" s="52" t="s">
        <v>150</v>
      </c>
      <c r="K23" s="51">
        <v>164</v>
      </c>
      <c r="L23" s="51" t="s">
        <v>151</v>
      </c>
      <c r="M23" s="52" t="s">
        <v>141</v>
      </c>
      <c r="N23" s="52" t="s">
        <v>142</v>
      </c>
      <c r="O23" s="53" t="s">
        <v>143</v>
      </c>
      <c r="P23" s="53" t="s">
        <v>152</v>
      </c>
    </row>
    <row r="24" spans="1:16" ht="12.75" customHeight="1" thickBot="1" x14ac:dyDescent="0.25">
      <c r="A24" s="16" t="str">
        <f t="shared" si="0"/>
        <v>BAVM 178 </v>
      </c>
      <c r="B24" s="5" t="str">
        <f t="shared" si="1"/>
        <v>I</v>
      </c>
      <c r="C24" s="16">
        <f t="shared" si="2"/>
        <v>53849.467299999997</v>
      </c>
      <c r="D24" s="11" t="str">
        <f t="shared" si="3"/>
        <v>vis</v>
      </c>
      <c r="E24" s="50">
        <f>VLOOKUP(C24,Active!C$21:E$973,3,FALSE)</f>
        <v>3061.9736777203898</v>
      </c>
      <c r="F24" s="5" t="s">
        <v>72</v>
      </c>
      <c r="G24" s="11" t="str">
        <f t="shared" si="4"/>
        <v>53849.4673</v>
      </c>
      <c r="H24" s="16">
        <f t="shared" si="5"/>
        <v>343</v>
      </c>
      <c r="I24" s="51" t="s">
        <v>158</v>
      </c>
      <c r="J24" s="52" t="s">
        <v>159</v>
      </c>
      <c r="K24" s="51">
        <v>343</v>
      </c>
      <c r="L24" s="51" t="s">
        <v>160</v>
      </c>
      <c r="M24" s="52" t="s">
        <v>161</v>
      </c>
      <c r="N24" s="52" t="s">
        <v>162</v>
      </c>
      <c r="O24" s="53" t="s">
        <v>163</v>
      </c>
      <c r="P24" s="54" t="s">
        <v>164</v>
      </c>
    </row>
    <row r="25" spans="1:16" ht="12.75" customHeight="1" thickBot="1" x14ac:dyDescent="0.25">
      <c r="A25" s="16" t="str">
        <f t="shared" si="0"/>
        <v>IBVS 5713 </v>
      </c>
      <c r="B25" s="5" t="str">
        <f t="shared" si="1"/>
        <v>I</v>
      </c>
      <c r="C25" s="16">
        <f t="shared" si="2"/>
        <v>53849.4686</v>
      </c>
      <c r="D25" s="11" t="str">
        <f t="shared" si="3"/>
        <v>vis</v>
      </c>
      <c r="E25" s="50">
        <f>VLOOKUP(C25,Active!C$21:E$973,3,FALSE)</f>
        <v>3061.974008248977</v>
      </c>
      <c r="F25" s="5" t="s">
        <v>72</v>
      </c>
      <c r="G25" s="11" t="str">
        <f t="shared" si="4"/>
        <v>53849.4686</v>
      </c>
      <c r="H25" s="16">
        <f t="shared" si="5"/>
        <v>343</v>
      </c>
      <c r="I25" s="51" t="s">
        <v>165</v>
      </c>
      <c r="J25" s="52" t="s">
        <v>166</v>
      </c>
      <c r="K25" s="51" t="s">
        <v>167</v>
      </c>
      <c r="L25" s="51" t="s">
        <v>168</v>
      </c>
      <c r="M25" s="52" t="s">
        <v>141</v>
      </c>
      <c r="N25" s="52" t="s">
        <v>142</v>
      </c>
      <c r="O25" s="53" t="s">
        <v>107</v>
      </c>
      <c r="P25" s="54" t="s">
        <v>169</v>
      </c>
    </row>
    <row r="26" spans="1:16" ht="12.75" customHeight="1" thickBot="1" x14ac:dyDescent="0.25">
      <c r="A26" s="16" t="str">
        <f t="shared" si="0"/>
        <v>BAVM 186 </v>
      </c>
      <c r="B26" s="5" t="str">
        <f t="shared" si="1"/>
        <v>I</v>
      </c>
      <c r="C26" s="16">
        <f t="shared" si="2"/>
        <v>54203.443700000003</v>
      </c>
      <c r="D26" s="11" t="str">
        <f t="shared" si="3"/>
        <v>vis</v>
      </c>
      <c r="E26" s="50">
        <f>VLOOKUP(C26,Active!C$21:E$973,3,FALSE)</f>
        <v>3151.9731539597083</v>
      </c>
      <c r="F26" s="5" t="s">
        <v>72</v>
      </c>
      <c r="G26" s="11" t="str">
        <f t="shared" si="4"/>
        <v>54203.4437</v>
      </c>
      <c r="H26" s="16">
        <f t="shared" si="5"/>
        <v>433</v>
      </c>
      <c r="I26" s="51" t="s">
        <v>170</v>
      </c>
      <c r="J26" s="52" t="s">
        <v>171</v>
      </c>
      <c r="K26" s="51" t="s">
        <v>172</v>
      </c>
      <c r="L26" s="51" t="s">
        <v>173</v>
      </c>
      <c r="M26" s="52" t="s">
        <v>161</v>
      </c>
      <c r="N26" s="52" t="s">
        <v>162</v>
      </c>
      <c r="O26" s="53" t="s">
        <v>174</v>
      </c>
      <c r="P26" s="54" t="s">
        <v>175</v>
      </c>
    </row>
    <row r="27" spans="1:16" ht="12.75" customHeight="1" thickBot="1" x14ac:dyDescent="0.25">
      <c r="A27" s="16" t="str">
        <f t="shared" si="0"/>
        <v>BAVM 214 </v>
      </c>
      <c r="B27" s="5" t="str">
        <f t="shared" si="1"/>
        <v>I</v>
      </c>
      <c r="C27" s="16">
        <f t="shared" si="2"/>
        <v>55316.509599999998</v>
      </c>
      <c r="D27" s="11" t="str">
        <f t="shared" si="3"/>
        <v>vis</v>
      </c>
      <c r="E27" s="50">
        <f>VLOOKUP(C27,Active!C$21:E$973,3,FALSE)</f>
        <v>3434.9732297270289</v>
      </c>
      <c r="F27" s="5" t="s">
        <v>72</v>
      </c>
      <c r="G27" s="11" t="str">
        <f t="shared" si="4"/>
        <v>55316.5096</v>
      </c>
      <c r="H27" s="16">
        <f t="shared" si="5"/>
        <v>716</v>
      </c>
      <c r="I27" s="51" t="s">
        <v>176</v>
      </c>
      <c r="J27" s="52" t="s">
        <v>177</v>
      </c>
      <c r="K27" s="51" t="s">
        <v>178</v>
      </c>
      <c r="L27" s="51" t="s">
        <v>179</v>
      </c>
      <c r="M27" s="52" t="s">
        <v>161</v>
      </c>
      <c r="N27" s="52" t="s">
        <v>162</v>
      </c>
      <c r="O27" s="53" t="s">
        <v>174</v>
      </c>
      <c r="P27" s="54" t="s">
        <v>180</v>
      </c>
    </row>
    <row r="28" spans="1:16" ht="12.75" customHeight="1" thickBot="1" x14ac:dyDescent="0.25">
      <c r="A28" s="16" t="str">
        <f t="shared" si="0"/>
        <v>BAVM 238 </v>
      </c>
      <c r="B28" s="5" t="str">
        <f t="shared" si="1"/>
        <v>I</v>
      </c>
      <c r="C28" s="16">
        <f t="shared" si="2"/>
        <v>56728.4899</v>
      </c>
      <c r="D28" s="11" t="str">
        <f t="shared" si="3"/>
        <v>vis</v>
      </c>
      <c r="E28" s="50">
        <f>VLOOKUP(C28,Active!C$21:E$973,3,FALSE)</f>
        <v>3793.9731163302995</v>
      </c>
      <c r="F28" s="5" t="s">
        <v>72</v>
      </c>
      <c r="G28" s="11" t="str">
        <f t="shared" si="4"/>
        <v>56728.4899</v>
      </c>
      <c r="H28" s="16">
        <f t="shared" si="5"/>
        <v>1075</v>
      </c>
      <c r="I28" s="51" t="s">
        <v>181</v>
      </c>
      <c r="J28" s="52" t="s">
        <v>182</v>
      </c>
      <c r="K28" s="51" t="s">
        <v>183</v>
      </c>
      <c r="L28" s="51" t="s">
        <v>184</v>
      </c>
      <c r="M28" s="52" t="s">
        <v>161</v>
      </c>
      <c r="N28" s="52" t="s">
        <v>162</v>
      </c>
      <c r="O28" s="53" t="s">
        <v>174</v>
      </c>
      <c r="P28" s="54" t="s">
        <v>185</v>
      </c>
    </row>
    <row r="29" spans="1:16" ht="12.75" customHeight="1" thickBot="1" x14ac:dyDescent="0.25">
      <c r="A29" s="16" t="str">
        <f t="shared" si="0"/>
        <v> AC 189.15 </v>
      </c>
      <c r="B29" s="5" t="str">
        <f t="shared" si="1"/>
        <v>I</v>
      </c>
      <c r="C29" s="16">
        <f t="shared" si="2"/>
        <v>17354.398000000001</v>
      </c>
      <c r="D29" s="11" t="str">
        <f t="shared" si="3"/>
        <v>vis</v>
      </c>
      <c r="E29" s="50">
        <f>VLOOKUP(C29,Active!C$21:E$973,3,FALSE)</f>
        <v>-6216.9983732908486</v>
      </c>
      <c r="F29" s="5" t="s">
        <v>72</v>
      </c>
      <c r="G29" s="11" t="str">
        <f t="shared" si="4"/>
        <v>17354.398</v>
      </c>
      <c r="H29" s="16">
        <f t="shared" si="5"/>
        <v>-8936</v>
      </c>
      <c r="I29" s="51" t="s">
        <v>76</v>
      </c>
      <c r="J29" s="52" t="s">
        <v>77</v>
      </c>
      <c r="K29" s="51">
        <v>-8936</v>
      </c>
      <c r="L29" s="51" t="s">
        <v>78</v>
      </c>
      <c r="M29" s="52" t="s">
        <v>75</v>
      </c>
      <c r="N29" s="52"/>
      <c r="O29" s="53" t="s">
        <v>79</v>
      </c>
      <c r="P29" s="53" t="s">
        <v>80</v>
      </c>
    </row>
    <row r="30" spans="1:16" ht="12.75" customHeight="1" thickBot="1" x14ac:dyDescent="0.25">
      <c r="A30" s="16" t="str">
        <f t="shared" si="0"/>
        <v> AC 189.15 </v>
      </c>
      <c r="B30" s="5" t="str">
        <f t="shared" si="1"/>
        <v>I</v>
      </c>
      <c r="C30" s="16">
        <f t="shared" si="2"/>
        <v>17704.432000000001</v>
      </c>
      <c r="D30" s="11" t="str">
        <f t="shared" si="3"/>
        <v>vis</v>
      </c>
      <c r="E30" s="50">
        <f>VLOOKUP(C30,Active!C$21:E$973,3,FALSE)</f>
        <v>-6128.001263127705</v>
      </c>
      <c r="F30" s="5" t="s">
        <v>72</v>
      </c>
      <c r="G30" s="11" t="str">
        <f t="shared" si="4"/>
        <v>17704.432</v>
      </c>
      <c r="H30" s="16">
        <f t="shared" si="5"/>
        <v>-8847</v>
      </c>
      <c r="I30" s="51" t="s">
        <v>81</v>
      </c>
      <c r="J30" s="52" t="s">
        <v>82</v>
      </c>
      <c r="K30" s="51">
        <v>-8847</v>
      </c>
      <c r="L30" s="51" t="s">
        <v>83</v>
      </c>
      <c r="M30" s="52" t="s">
        <v>75</v>
      </c>
      <c r="N30" s="52"/>
      <c r="O30" s="53" t="s">
        <v>79</v>
      </c>
      <c r="P30" s="53" t="s">
        <v>80</v>
      </c>
    </row>
    <row r="31" spans="1:16" ht="12.75" customHeight="1" thickBot="1" x14ac:dyDescent="0.25">
      <c r="A31" s="16" t="str">
        <f t="shared" si="0"/>
        <v> AC 184.22 </v>
      </c>
      <c r="B31" s="5" t="str">
        <f t="shared" si="1"/>
        <v>I</v>
      </c>
      <c r="C31" s="16">
        <f t="shared" si="2"/>
        <v>36040.5</v>
      </c>
      <c r="D31" s="11" t="str">
        <f t="shared" si="3"/>
        <v>vis</v>
      </c>
      <c r="E31" s="50">
        <f>VLOOKUP(C31,Active!C$21:E$973,3,FALSE)</f>
        <v>-1466.0053891414743</v>
      </c>
      <c r="F31" s="5" t="s">
        <v>72</v>
      </c>
      <c r="G31" s="11" t="str">
        <f t="shared" si="4"/>
        <v>36040.50</v>
      </c>
      <c r="H31" s="16">
        <f t="shared" si="5"/>
        <v>-4185</v>
      </c>
      <c r="I31" s="51" t="s">
        <v>84</v>
      </c>
      <c r="J31" s="52" t="s">
        <v>85</v>
      </c>
      <c r="K31" s="51">
        <v>-4185</v>
      </c>
      <c r="L31" s="51" t="s">
        <v>86</v>
      </c>
      <c r="M31" s="52" t="s">
        <v>87</v>
      </c>
      <c r="N31" s="52"/>
      <c r="O31" s="53" t="s">
        <v>79</v>
      </c>
      <c r="P31" s="53" t="s">
        <v>88</v>
      </c>
    </row>
    <row r="32" spans="1:16" ht="12.75" customHeight="1" thickBot="1" x14ac:dyDescent="0.25">
      <c r="A32" s="16" t="str">
        <f t="shared" si="0"/>
        <v> AC 184.22 </v>
      </c>
      <c r="B32" s="5" t="str">
        <f t="shared" si="1"/>
        <v>I</v>
      </c>
      <c r="C32" s="16">
        <f t="shared" si="2"/>
        <v>36048.379999999997</v>
      </c>
      <c r="D32" s="11" t="str">
        <f t="shared" si="3"/>
        <v>vis</v>
      </c>
      <c r="E32" s="50">
        <f>VLOOKUP(C32,Active!C$21:E$973,3,FALSE)</f>
        <v>-1464.0018774023708</v>
      </c>
      <c r="F32" s="5" t="s">
        <v>72</v>
      </c>
      <c r="G32" s="11" t="str">
        <f t="shared" si="4"/>
        <v>36048.38</v>
      </c>
      <c r="H32" s="16">
        <f t="shared" si="5"/>
        <v>-4183</v>
      </c>
      <c r="I32" s="51" t="s">
        <v>89</v>
      </c>
      <c r="J32" s="52" t="s">
        <v>90</v>
      </c>
      <c r="K32" s="51">
        <v>-4183</v>
      </c>
      <c r="L32" s="51" t="s">
        <v>91</v>
      </c>
      <c r="M32" s="52" t="s">
        <v>87</v>
      </c>
      <c r="N32" s="52"/>
      <c r="O32" s="53" t="s">
        <v>79</v>
      </c>
      <c r="P32" s="53" t="s">
        <v>88</v>
      </c>
    </row>
    <row r="33" spans="1:16" ht="12.75" customHeight="1" thickBot="1" x14ac:dyDescent="0.25">
      <c r="A33" s="16" t="str">
        <f t="shared" si="0"/>
        <v> AC 184.22 </v>
      </c>
      <c r="B33" s="5" t="str">
        <f t="shared" si="1"/>
        <v>I</v>
      </c>
      <c r="C33" s="16">
        <f t="shared" si="2"/>
        <v>36052.33</v>
      </c>
      <c r="D33" s="11" t="str">
        <f t="shared" si="3"/>
        <v>vis</v>
      </c>
      <c r="E33" s="50">
        <f>VLOOKUP(C33,Active!C$21:E$973,3,FALSE)</f>
        <v>-1462.9975790052301</v>
      </c>
      <c r="F33" s="5" t="s">
        <v>72</v>
      </c>
      <c r="G33" s="11" t="str">
        <f t="shared" si="4"/>
        <v>36052.33</v>
      </c>
      <c r="H33" s="16">
        <f t="shared" si="5"/>
        <v>-4182</v>
      </c>
      <c r="I33" s="51" t="s">
        <v>92</v>
      </c>
      <c r="J33" s="52" t="s">
        <v>93</v>
      </c>
      <c r="K33" s="51">
        <v>-4182</v>
      </c>
      <c r="L33" s="51" t="s">
        <v>94</v>
      </c>
      <c r="M33" s="52" t="s">
        <v>87</v>
      </c>
      <c r="N33" s="52"/>
      <c r="O33" s="53" t="s">
        <v>79</v>
      </c>
      <c r="P33" s="53" t="s">
        <v>88</v>
      </c>
    </row>
    <row r="34" spans="1:16" ht="12.75" customHeight="1" thickBot="1" x14ac:dyDescent="0.25">
      <c r="A34" s="16" t="str">
        <f t="shared" si="0"/>
        <v>VSB 44 </v>
      </c>
      <c r="B34" s="5" t="str">
        <f t="shared" si="1"/>
        <v>I</v>
      </c>
      <c r="C34" s="16">
        <f t="shared" si="2"/>
        <v>53456.1734</v>
      </c>
      <c r="D34" s="11" t="str">
        <f t="shared" si="3"/>
        <v>vis</v>
      </c>
      <c r="E34" s="50">
        <f>VLOOKUP(C34,Active!C$21:E$973,3,FALSE)</f>
        <v>2961.9776186381514</v>
      </c>
      <c r="F34" s="5" t="s">
        <v>72</v>
      </c>
      <c r="G34" s="11" t="str">
        <f t="shared" si="4"/>
        <v>53456.1734</v>
      </c>
      <c r="H34" s="16">
        <f t="shared" si="5"/>
        <v>243</v>
      </c>
      <c r="I34" s="51" t="s">
        <v>153</v>
      </c>
      <c r="J34" s="52" t="s">
        <v>154</v>
      </c>
      <c r="K34" s="51">
        <v>243</v>
      </c>
      <c r="L34" s="51" t="s">
        <v>155</v>
      </c>
      <c r="M34" s="52" t="s">
        <v>141</v>
      </c>
      <c r="N34" s="52" t="s">
        <v>142</v>
      </c>
      <c r="O34" s="53" t="s">
        <v>156</v>
      </c>
      <c r="P34" s="54" t="s">
        <v>157</v>
      </c>
    </row>
    <row r="35" spans="1:16" x14ac:dyDescent="0.2">
      <c r="B35" s="5"/>
      <c r="F35" s="5"/>
    </row>
    <row r="36" spans="1:16" x14ac:dyDescent="0.2">
      <c r="B36" s="5"/>
      <c r="F36" s="5"/>
    </row>
    <row r="37" spans="1:16" x14ac:dyDescent="0.2">
      <c r="B37" s="5"/>
      <c r="F37" s="5"/>
    </row>
    <row r="38" spans="1:16" x14ac:dyDescent="0.2">
      <c r="B38" s="5"/>
      <c r="F38" s="5"/>
    </row>
    <row r="39" spans="1:16" x14ac:dyDescent="0.2">
      <c r="B39" s="5"/>
      <c r="F39" s="5"/>
    </row>
    <row r="40" spans="1:16" x14ac:dyDescent="0.2">
      <c r="B40" s="5"/>
      <c r="F40" s="5"/>
    </row>
    <row r="41" spans="1:16" x14ac:dyDescent="0.2">
      <c r="B41" s="5"/>
      <c r="F41" s="5"/>
    </row>
    <row r="42" spans="1:16" x14ac:dyDescent="0.2">
      <c r="B42" s="5"/>
      <c r="F42" s="5"/>
    </row>
    <row r="43" spans="1:16" x14ac:dyDescent="0.2">
      <c r="B43" s="5"/>
      <c r="F43" s="5"/>
    </row>
    <row r="44" spans="1:16" x14ac:dyDescent="0.2">
      <c r="B44" s="5"/>
      <c r="F44" s="5"/>
    </row>
    <row r="45" spans="1:16" x14ac:dyDescent="0.2">
      <c r="B45" s="5"/>
      <c r="F45" s="5"/>
    </row>
    <row r="46" spans="1:16" x14ac:dyDescent="0.2">
      <c r="B46" s="5"/>
      <c r="F46" s="5"/>
    </row>
    <row r="47" spans="1:16" x14ac:dyDescent="0.2">
      <c r="B47" s="5"/>
      <c r="F47" s="5"/>
    </row>
    <row r="48" spans="1:1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</sheetData>
  <phoneticPr fontId="8" type="noConversion"/>
  <hyperlinks>
    <hyperlink ref="A3" r:id="rId1" xr:uid="{00000000-0004-0000-0100-000000000000}"/>
    <hyperlink ref="P11" r:id="rId2" display="http://www.konkoly.hu/cgi-bin/IBVS?35" xr:uid="{00000000-0004-0000-0100-000001000000}"/>
    <hyperlink ref="P34" r:id="rId3" display="http://vsolj.cetus-net.org/no44.pdf" xr:uid="{00000000-0004-0000-0100-000002000000}"/>
    <hyperlink ref="P24" r:id="rId4" display="http://www.bav-astro.de/sfs/BAVM_link.php?BAVMnr=178" xr:uid="{00000000-0004-0000-0100-000003000000}"/>
    <hyperlink ref="P25" r:id="rId5" display="http://www.konkoly.hu/cgi-bin/IBVS?5713" xr:uid="{00000000-0004-0000-0100-000004000000}"/>
    <hyperlink ref="P26" r:id="rId6" display="http://www.bav-astro.de/sfs/BAVM_link.php?BAVMnr=186" xr:uid="{00000000-0004-0000-0100-000005000000}"/>
    <hyperlink ref="P27" r:id="rId7" display="http://www.bav-astro.de/sfs/BAVM_link.php?BAVMnr=214" xr:uid="{00000000-0004-0000-0100-000006000000}"/>
    <hyperlink ref="P28" r:id="rId8" display="http://www.bav-astro.de/sfs/BAVM_link.php?BAVMnr=238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2023-08-14T01:37:18Z</dcterms:modified>
</cp:coreProperties>
</file>