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40281D9-AF94-4EEC-957C-BB097B36A9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8" i="1"/>
  <c r="F28" i="1" s="1"/>
  <c r="G28" i="1" s="1"/>
  <c r="K28" i="1" s="1"/>
  <c r="Q28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/>
  <c r="G26" i="1" s="1"/>
  <c r="K26" i="1" s="1"/>
  <c r="Q26" i="1"/>
  <c r="Q22" i="1"/>
  <c r="C8" i="1"/>
  <c r="C7" i="1"/>
  <c r="D9" i="1"/>
  <c r="E9" i="1"/>
  <c r="D8" i="1"/>
  <c r="F16" i="1"/>
  <c r="C17" i="1"/>
  <c r="Q21" i="1"/>
  <c r="E22" i="1"/>
  <c r="F22" i="1"/>
  <c r="G22" i="1"/>
  <c r="K22" i="1"/>
  <c r="E21" i="1"/>
  <c r="F21" i="1"/>
  <c r="G21" i="1"/>
  <c r="I21" i="1"/>
  <c r="C12" i="1"/>
  <c r="C11" i="1"/>
  <c r="O28" i="1" l="1"/>
  <c r="O27" i="1"/>
  <c r="O25" i="1"/>
  <c r="O24" i="1"/>
  <c r="O23" i="1"/>
  <c r="O26" i="1"/>
  <c r="O21" i="1"/>
  <c r="O22" i="1"/>
  <c r="C15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<sst xmlns="http://schemas.openxmlformats.org/spreadsheetml/2006/main" count="70" uniqueCount="58">
  <si>
    <t>OEJV 0181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</si>
  <si>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</si>
  <si>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</si>
  <si>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</si>
  <si>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</si>
  <si>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</si>
  <si>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</si>
  <si>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</si>
  <si>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</si>
  <si>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</si>
  <si>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</si>
  <si>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</si>
  <si>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</si>
  <si>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</si>
  <si>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</si>
  <si>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</si>
  <si>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</si>
  <si>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</si>
  <si>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</si>
  <si>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</si>
  <si>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</si>
  <si>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</si>
  <si>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</si>
  <si>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</si>
  <si>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</si>
  <si>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</si>
  <si>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</si>
  <si>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</si>
  <si>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</si>
  <si>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</si>
  <si>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</si>
  <si>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</si>
  <si>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</si>
  <si>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</si>
  <si>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</si>
  <si>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</si>
  <si>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</si>
  <si>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</si>
  <si>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</si>
  <si>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</si>
  <si>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</si>
  <si>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</si>
  <si>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</si>
  <si>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V0416 CMa</t>
  </si>
  <si>
    <t>2013a</t>
  </si>
  <si>
    <t>G6526-1053</t>
  </si>
  <si>
    <t>EW</t>
  </si>
  <si>
    <t>pr_0</t>
  </si>
  <si>
    <t>F7V</t>
  </si>
  <si>
    <t>V0416 CMa / GSC 6526-1053</t>
  </si>
  <si>
    <t>GCVS</t>
  </si>
  <si>
    <t>VSB, 91</t>
  </si>
  <si>
    <t>JBAV, 63</t>
  </si>
  <si>
    <t>II</t>
  </si>
  <si>
    <t>Ha</t>
  </si>
  <si>
    <t>Ic</t>
  </si>
  <si>
    <t>V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</si>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</sst>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4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6" fillId="24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17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7" fillId="25" borderId="5" xfId="0" applyFont="1" applyFill="1" applyBorder="1" applyAlignment="1">
      <alignment vertical="center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5" fontId="35" fillId="0" borderId="0" xfId="0" applyNumberFormat="1" applyFont="1" applyAlignment="1">
      <alignment vertical="center" wrapText="1"/>
    </xf>
    <xf numFmtId="0" fontId="35" fillId="0" borderId="0" xfId="0" applyFont="1" applyAlignment="1" applyProtection="1">
      <alignment horizontal="left"/>
      <protection locked="0"/>
    </xf>
    <xf numFmtId="0" fontId="35" fillId="0" borderId="0" xfId="0" applyFont="1" applyAlignment="1" applyProtection="1">
      <alignment horizontal="center"/>
      <protection locked="0"/>
    </xf>
    <xf numFmtId="165" fontId="35" fillId="0" borderId="0" xfId="0" applyNumberFormat="1" applyFont="1" applyAlignment="1" applyProtection="1">
      <alignment vertical="center" wrapText="1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V0416 CMa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  <c:pt idx="6">
                  <c:v>18504.5</c:v>
                </c:pt>
                <c:pt idx="7">
                  <c:v>18504.5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57-4285-B108-764F071CEA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  <c:pt idx="6">
                  <c:v>18504.5</c:v>
                </c:pt>
                <c:pt idx="7">
                  <c:v>18504.5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57-4285-B108-764F071CEA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  <c:pt idx="6">
                  <c:v>18504.5</c:v>
                </c:pt>
                <c:pt idx="7">
                  <c:v>18504.5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57-4285-B108-764F071CEA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  <c:pt idx="6">
                  <c:v>18504.5</c:v>
                </c:pt>
                <c:pt idx="7">
                  <c:v>18504.5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9.506999995210208E-3</c:v>
                </c:pt>
                <c:pt idx="2">
                  <c:v>1.2051499965309631E-2</c:v>
                </c:pt>
                <c:pt idx="3">
                  <c:v>7.1335001193801872E-3</c:v>
                </c:pt>
                <c:pt idx="4">
                  <c:v>7.9335001573781483E-3</c:v>
                </c:pt>
                <c:pt idx="5">
                  <c:v>6.760999996913597E-3</c:v>
                </c:pt>
                <c:pt idx="6">
                  <c:v>6.4245001340168528E-3</c:v>
                </c:pt>
                <c:pt idx="7">
                  <c:v>6.8244999201851897E-3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57-4285-B108-764F071CEA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  <c:pt idx="6">
                  <c:v>18504.5</c:v>
                </c:pt>
                <c:pt idx="7">
                  <c:v>18504.5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57-4285-B108-764F071CEA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  <c:pt idx="6">
                  <c:v>18504.5</c:v>
                </c:pt>
                <c:pt idx="7">
                  <c:v>18504.5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57-4285-B108-764F071CEA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  <c:pt idx="6">
                  <c:v>18504.5</c:v>
                </c:pt>
                <c:pt idx="7">
                  <c:v>18504.5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57-4285-B108-764F071CEA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  <c:pt idx="6">
                  <c:v>18504.5</c:v>
                </c:pt>
                <c:pt idx="7">
                  <c:v>18504.5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7.4144377635606065E-4</c:v>
                </c:pt>
                <c:pt idx="1">
                  <c:v>6.5166760202163129E-3</c:v>
                </c:pt>
                <c:pt idx="2">
                  <c:v>8.1549661566380771E-3</c:v>
                </c:pt>
                <c:pt idx="3">
                  <c:v>8.2209129828525948E-3</c:v>
                </c:pt>
                <c:pt idx="4">
                  <c:v>8.2209129828525948E-3</c:v>
                </c:pt>
                <c:pt idx="5">
                  <c:v>8.2321076601420962E-3</c:v>
                </c:pt>
                <c:pt idx="6">
                  <c:v>8.2742403546680384E-3</c:v>
                </c:pt>
                <c:pt idx="7">
                  <c:v>8.2742403546680384E-3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57-4285-B108-764F071CEA1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  <c:pt idx="6">
                  <c:v>18504.5</c:v>
                </c:pt>
                <c:pt idx="7">
                  <c:v>18504.5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57-4285-B108-764F071CE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631208"/>
        <c:axId val="1"/>
      </c:scatterChart>
      <c:valAx>
        <c:axId val="433631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631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0EDF30-C10A-AC07-D539-0ADF21863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49</v>
      </c>
      <c r="F1" s="34" t="s">
        <v>43</v>
      </c>
      <c r="G1" s="31" t="s">
        <v>44</v>
      </c>
      <c r="H1" s="35"/>
      <c r="I1" s="36" t="s">
        <v>45</v>
      </c>
      <c r="J1" s="37" t="s">
        <v>43</v>
      </c>
      <c r="K1" s="36">
        <v>6.5231999999999992</v>
      </c>
      <c r="L1" s="38">
        <v>-25.332999999999998</v>
      </c>
      <c r="M1" s="39">
        <v>51868.247000000003</v>
      </c>
      <c r="N1" s="39">
        <v>0.41863899999999998</v>
      </c>
      <c r="O1" s="40" t="s">
        <v>46</v>
      </c>
      <c r="P1" s="38">
        <v>8.61</v>
      </c>
      <c r="Q1" s="38">
        <v>8.99</v>
      </c>
      <c r="R1" s="41" t="s">
        <v>47</v>
      </c>
      <c r="S1" s="40" t="s">
        <v>48</v>
      </c>
    </row>
    <row r="2" spans="1:19" x14ac:dyDescent="0.2">
      <c r="A2" t="s">
        <v>25</v>
      </c>
      <c r="B2" t="s">
        <v>46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7">
        <v>51868.247000000003</v>
      </c>
      <c r="D4" s="28">
        <v>0.41863899999999998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8">
        <f>M1</f>
        <v>51868.247000000003</v>
      </c>
      <c r="D7" s="29" t="s">
        <v>50</v>
      </c>
    </row>
    <row r="8" spans="1:19" x14ac:dyDescent="0.2">
      <c r="A8" t="s">
        <v>5</v>
      </c>
      <c r="C8" s="8">
        <f>N1</f>
        <v>0.41863899999999998</v>
      </c>
      <c r="D8" s="29" t="str">
        <f>D7</f>
        <v>GCVS</v>
      </c>
    </row>
    <row r="9" spans="1:19" x14ac:dyDescent="0.2">
      <c r="A9" s="24" t="s">
        <v>34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INTERCEPT(INDIRECT($E$9):G992,INDIRECT($D$9):F992)</f>
        <v>7.4144377635606065E-4</v>
      </c>
      <c r="D11" s="3"/>
      <c r="E11" s="10"/>
    </row>
    <row r="12" spans="1:19" x14ac:dyDescent="0.2">
      <c r="A12" s="10" t="s">
        <v>18</v>
      </c>
      <c r="B12" s="10"/>
      <c r="C12" s="21">
        <f ca="1">SLOPE(INDIRECT($E$9):G992,INDIRECT($D$9):F992)</f>
        <v>4.0707917416368873E-7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59614.751330036823</v>
      </c>
      <c r="E15" s="14" t="s">
        <v>36</v>
      </c>
      <c r="F15" s="32">
        <v>1</v>
      </c>
    </row>
    <row r="16" spans="1:19" x14ac:dyDescent="0.2">
      <c r="A16" s="16" t="s">
        <v>6</v>
      </c>
      <c r="B16" s="10"/>
      <c r="C16" s="17">
        <f ca="1">+C8+C12</f>
        <v>0.41863940707917413</v>
      </c>
      <c r="E16" s="14" t="s">
        <v>32</v>
      </c>
      <c r="F16" s="33">
        <f ca="1">NOW()+15018.5+$C$5/24</f>
        <v>60177.689010763883</v>
      </c>
    </row>
    <row r="17" spans="1:21" ht="13.5" thickBot="1" x14ac:dyDescent="0.25">
      <c r="A17" s="14" t="s">
        <v>29</v>
      </c>
      <c r="B17" s="10"/>
      <c r="C17" s="10">
        <f>COUNT(C21:C2191)</f>
        <v>8</v>
      </c>
      <c r="E17" s="14" t="s">
        <v>37</v>
      </c>
      <c r="F17" s="15">
        <f ca="1">ROUND(2*(F16-$C$7)/$C$8,0)/2+F15</f>
        <v>19849.5</v>
      </c>
    </row>
    <row r="18" spans="1:21" ht="14.25" thickTop="1" thickBot="1" x14ac:dyDescent="0.25">
      <c r="A18" s="16" t="s">
        <v>7</v>
      </c>
      <c r="B18" s="10"/>
      <c r="C18" s="19">
        <f ca="1">+C15</f>
        <v>59614.751330036823</v>
      </c>
      <c r="D18" s="20">
        <f ca="1">+C16</f>
        <v>0.41863940707917413</v>
      </c>
      <c r="E18" s="14" t="s">
        <v>38</v>
      </c>
      <c r="F18" s="23">
        <f ca="1">ROUND(2*(F16-$C$15)/$C$16,0)/2+F15</f>
        <v>1345.5</v>
      </c>
    </row>
    <row r="19" spans="1:21" ht="13.5" thickTop="1" x14ac:dyDescent="0.2">
      <c r="E19" s="14" t="s">
        <v>33</v>
      </c>
      <c r="F19" s="18">
        <f ca="1">+$C$15+$C$16*F18-15018.5-$C$5/24</f>
        <v>45159.926485595184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50</v>
      </c>
      <c r="C21" s="8">
        <v>51868.247000000003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7.4144377635606065E-4</v>
      </c>
      <c r="Q21" s="2">
        <f>+C21-15018.5</f>
        <v>36849.747000000003</v>
      </c>
    </row>
    <row r="22" spans="1:21" x14ac:dyDescent="0.2">
      <c r="A22" s="42" t="s">
        <v>0</v>
      </c>
      <c r="B22" s="43" t="s">
        <v>1</v>
      </c>
      <c r="C22" s="44">
        <v>57807.487999999998</v>
      </c>
      <c r="D22" s="44">
        <v>3.0000000000000001E-3</v>
      </c>
      <c r="E22">
        <f>+(C22-C$7)/C$8</f>
        <v>14187.02270930323</v>
      </c>
      <c r="F22">
        <f>ROUND(2*E22,0)/2</f>
        <v>14187</v>
      </c>
      <c r="G22">
        <f>+C22-(C$7+F22*C$8)</f>
        <v>9.506999995210208E-3</v>
      </c>
      <c r="K22">
        <f>+G22</f>
        <v>9.506999995210208E-3</v>
      </c>
      <c r="O22">
        <f ca="1">+C$11+C$12*$F22</f>
        <v>6.5166760202163129E-3</v>
      </c>
      <c r="Q22" s="2">
        <f>+C22-15018.5</f>
        <v>42788.987999999998</v>
      </c>
    </row>
    <row r="23" spans="1:21" x14ac:dyDescent="0.2">
      <c r="A23" s="45" t="s">
        <v>51</v>
      </c>
      <c r="B23" s="46" t="s">
        <v>1</v>
      </c>
      <c r="C23" s="47">
        <v>59492.303199999966</v>
      </c>
      <c r="D23" s="45" t="s">
        <v>54</v>
      </c>
      <c r="E23">
        <f t="shared" ref="E23:E26" si="0">+(C23-C$7)/C$8</f>
        <v>18211.528787332194</v>
      </c>
      <c r="F23">
        <f t="shared" ref="F23:F26" si="1">ROUND(2*E23,0)/2</f>
        <v>18211.5</v>
      </c>
      <c r="G23">
        <f t="shared" ref="G23:G26" si="2">+C23-(C$7+F23*C$8)</f>
        <v>1.2051499965309631E-2</v>
      </c>
      <c r="K23">
        <f>+G23</f>
        <v>1.2051499965309631E-2</v>
      </c>
      <c r="O23">
        <f t="shared" ref="O23:O26" ca="1" si="3">+C$11+C$12*$F23</f>
        <v>8.1549661566380771E-3</v>
      </c>
      <c r="Q23" s="2">
        <f t="shared" ref="Q23:Q26" si="4">+C23-15018.5</f>
        <v>44473.803199999966</v>
      </c>
    </row>
    <row r="24" spans="1:21" x14ac:dyDescent="0.2">
      <c r="A24" s="45" t="s">
        <v>51</v>
      </c>
      <c r="B24" s="46" t="s">
        <v>1</v>
      </c>
      <c r="C24" s="47">
        <v>59560.117800000124</v>
      </c>
      <c r="D24" s="45" t="s">
        <v>55</v>
      </c>
      <c r="E24">
        <f t="shared" si="0"/>
        <v>18373.517039740971</v>
      </c>
      <c r="F24">
        <f t="shared" si="1"/>
        <v>18373.5</v>
      </c>
      <c r="G24">
        <f t="shared" si="2"/>
        <v>7.1335001193801872E-3</v>
      </c>
      <c r="K24">
        <f>+G24</f>
        <v>7.1335001193801872E-3</v>
      </c>
      <c r="O24">
        <f t="shared" ca="1" si="3"/>
        <v>8.2209129828525948E-3</v>
      </c>
      <c r="Q24" s="2">
        <f t="shared" si="4"/>
        <v>44541.617800000124</v>
      </c>
    </row>
    <row r="25" spans="1:21" x14ac:dyDescent="0.2">
      <c r="A25" s="45" t="s">
        <v>51</v>
      </c>
      <c r="B25" s="46" t="s">
        <v>1</v>
      </c>
      <c r="C25" s="47">
        <v>59560.118600000162</v>
      </c>
      <c r="D25" s="45" t="s">
        <v>56</v>
      </c>
      <c r="E25">
        <f t="shared" si="0"/>
        <v>18373.518950695368</v>
      </c>
      <c r="F25">
        <f t="shared" si="1"/>
        <v>18373.5</v>
      </c>
      <c r="G25">
        <f t="shared" si="2"/>
        <v>7.9335001573781483E-3</v>
      </c>
      <c r="K25">
        <f>+G25</f>
        <v>7.9335001573781483E-3</v>
      </c>
      <c r="O25">
        <f t="shared" ca="1" si="3"/>
        <v>8.2209129828525948E-3</v>
      </c>
      <c r="Q25" s="2">
        <f t="shared" si="4"/>
        <v>44541.618600000162</v>
      </c>
    </row>
    <row r="26" spans="1:21" x14ac:dyDescent="0.2">
      <c r="A26" s="45" t="s">
        <v>52</v>
      </c>
      <c r="B26" s="46" t="s">
        <v>53</v>
      </c>
      <c r="C26" s="47">
        <v>59571.63</v>
      </c>
      <c r="D26" s="45">
        <v>3.0000000000000001E-3</v>
      </c>
      <c r="E26">
        <f t="shared" si="0"/>
        <v>18401.016149952571</v>
      </c>
      <c r="F26">
        <f t="shared" si="1"/>
        <v>18401</v>
      </c>
      <c r="G26">
        <f t="shared" si="2"/>
        <v>6.760999996913597E-3</v>
      </c>
      <c r="K26">
        <f>+G26</f>
        <v>6.760999996913597E-3</v>
      </c>
      <c r="O26">
        <f t="shared" ca="1" si="3"/>
        <v>8.2321076601420962E-3</v>
      </c>
      <c r="Q26" s="2">
        <f t="shared" si="4"/>
        <v>44553.13</v>
      </c>
    </row>
    <row r="27" spans="1:21" x14ac:dyDescent="0.2">
      <c r="A27" s="48" t="s">
        <v>57</v>
      </c>
      <c r="B27" s="49" t="s">
        <v>53</v>
      </c>
      <c r="C27" s="50">
        <v>59614.958800000139</v>
      </c>
      <c r="D27" s="8"/>
      <c r="E27">
        <f t="shared" ref="E27:E28" si="5">+(C27-C$7)/C$8</f>
        <v>18504.515346157754</v>
      </c>
      <c r="F27">
        <f t="shared" ref="F27:F28" si="6">ROUND(2*E27,0)/2</f>
        <v>18504.5</v>
      </c>
      <c r="G27">
        <f t="shared" ref="G27:G28" si="7">+C27-(C$7+F27*C$8)</f>
        <v>6.4245001340168528E-3</v>
      </c>
      <c r="K27">
        <f t="shared" ref="K27:K28" si="8">+G27</f>
        <v>6.4245001340168528E-3</v>
      </c>
      <c r="O27">
        <f t="shared" ref="O27:O28" ca="1" si="9">+C$11+C$12*$F27</f>
        <v>8.2742403546680384E-3</v>
      </c>
      <c r="Q27" s="2">
        <f t="shared" ref="Q27:Q28" si="10">+C27-15018.5</f>
        <v>44596.458800000139</v>
      </c>
    </row>
    <row r="28" spans="1:21" x14ac:dyDescent="0.2">
      <c r="A28" s="48" t="s">
        <v>57</v>
      </c>
      <c r="B28" s="49" t="s">
        <v>53</v>
      </c>
      <c r="C28" s="50">
        <v>59614.959199999925</v>
      </c>
      <c r="D28" s="8"/>
      <c r="E28">
        <f t="shared" si="5"/>
        <v>18504.516301634398</v>
      </c>
      <c r="F28">
        <f t="shared" si="6"/>
        <v>18504.5</v>
      </c>
      <c r="G28">
        <f t="shared" si="7"/>
        <v>6.8244999201851897E-3</v>
      </c>
      <c r="K28">
        <f t="shared" si="8"/>
        <v>6.8244999201851897E-3</v>
      </c>
      <c r="O28">
        <f t="shared" ca="1" si="9"/>
        <v>8.2742403546680384E-3</v>
      </c>
      <c r="Q28" s="2">
        <f t="shared" si="10"/>
        <v>44596.459199999925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1664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2023-08-21T04:32:10Z</dcterms:modified>
</cp:coreProperties>
</file>