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A009392-40C8-4CB5-BC46-D12A9751F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I31" i="1" s="1"/>
  <c r="Q31" i="1"/>
  <c r="D9" i="1"/>
  <c r="C9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I30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0" i="1"/>
  <c r="Q29" i="1"/>
  <c r="Q28" i="1"/>
  <c r="Q27" i="1"/>
  <c r="I27" i="1"/>
  <c r="Q25" i="1"/>
  <c r="Q26" i="1"/>
  <c r="F16" i="1"/>
  <c r="F17" i="1" s="1"/>
  <c r="C17" i="1"/>
  <c r="Q22" i="1"/>
  <c r="Q23" i="1"/>
  <c r="Q24" i="1"/>
  <c r="Q21" i="1"/>
  <c r="C12" i="1"/>
  <c r="C11" i="1"/>
  <c r="O31" i="1" l="1"/>
  <c r="C16" i="1"/>
  <c r="D18" i="1" s="1"/>
  <c r="O29" i="1"/>
  <c r="C15" i="1"/>
  <c r="O25" i="1"/>
  <c r="O26" i="1"/>
  <c r="O30" i="1"/>
  <c r="O22" i="1"/>
  <c r="O28" i="1"/>
  <c r="O21" i="1"/>
  <c r="O24" i="1"/>
  <c r="O23" i="1"/>
  <c r="O27" i="1"/>
  <c r="F18" i="1" l="1"/>
  <c r="F19" i="1" s="1"/>
  <c r="C18" i="1"/>
</calcChain>
</file>

<file path=xl/sharedStrings.xml><?xml version="1.0" encoding="utf-8"?>
<sst xmlns="http://schemas.openxmlformats.org/spreadsheetml/2006/main" count="146" uniqueCount="94">
  <si>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</si>
  <si>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</si>
  <si>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</si>
  <si>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</si>
  <si>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</si>
  <si>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</si>
  <si>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</si>
  <si>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</si>
  <si>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</si>
  <si>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</si>
  <si>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</si>
  <si>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</si>
  <si>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</si>
  <si>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</si>
  <si>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</si>
  <si>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</si>
  <si>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</si>
  <si>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</si>
  <si>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</si>
  <si>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</si>
  <si>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</si>
  <si>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</si>
  <si>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</si>
  <si>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</si>
  <si>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</si>
  <si>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</si>
  <si>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</si>
  <si>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Pashke</t>
  </si>
  <si>
    <t>Paschke A</t>
  </si>
  <si>
    <t>BBSAG Bull.106</t>
  </si>
  <si>
    <t>B</t>
  </si>
  <si>
    <t>BBSAG Bull.112</t>
  </si>
  <si>
    <t>http://anton.paschke.com/stars/CMi0.htm</t>
  </si>
  <si>
    <t># of data points:</t>
  </si>
  <si>
    <t>E</t>
  </si>
  <si>
    <t>BL CMi / gsc 0165-0435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</si>
  <si>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</si>
  <si>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</si>
  <si>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</si>
  <si>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</si>
  <si>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</si>
  <si>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</si>
  <si>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</si>
  <si>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</si>
  <si>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116</t>
  </si>
  <si>
    <t>I</t>
  </si>
  <si>
    <t>OEJV 0172</t>
  </si>
  <si>
    <t>II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</si>
  <si>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</si>
  <si>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</si>
  <si>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</si>
  <si>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</si>
  <si>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</si>
  <si>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</si>
  <si>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</si>
  <si>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</si>
  <si>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</si>
  <si>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</si>
  <si>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2447170.60 </t>
  </si>
  <si>
    <t> 10.01.1988 02:24 </t>
  </si>
  <si>
    <t> -0.38 </t>
  </si>
  <si>
    <t>V </t>
  </si>
  <si>
    <t> A.Paschke </t>
  </si>
  <si>
    <t>OEJV 0116 </t>
  </si>
  <si>
    <t>2449396.53 </t>
  </si>
  <si>
    <t> 13.02.1994 00:43 </t>
  </si>
  <si>
    <t> -0.20 </t>
  </si>
  <si>
    <t>E </t>
  </si>
  <si>
    <t>?</t>
  </si>
  <si>
    <t> BBS 106 </t>
  </si>
  <si>
    <t>2450149.387 </t>
  </si>
  <si>
    <t> 06.03.1996 21:17 </t>
  </si>
  <si>
    <t> -0.085 </t>
  </si>
  <si>
    <t> BBS 112 </t>
  </si>
  <si>
    <t>2454450.432 </t>
  </si>
  <si>
    <t> 15.12.2007 22:22 </t>
  </si>
  <si>
    <t> 0.005 </t>
  </si>
  <si>
    <t>C </t>
  </si>
  <si>
    <t>V;I</t>
  </si>
  <si>
    <t>2457018.659 </t>
  </si>
  <si>
    <t> 27.12.2014 03:48 </t>
  </si>
  <si>
    <t> 0.058 </t>
  </si>
  <si>
    <t>OEJV 0172 </t>
  </si>
  <si>
    <t>2457018.663 </t>
  </si>
  <si>
    <t> 27.12.2014 03:54 </t>
  </si>
  <si>
    <t> 0.062 </t>
  </si>
  <si>
    <t>2457021.632 </t>
  </si>
  <si>
    <t> 30.12.2014 03:10 </t>
  </si>
  <si>
    <t> 0.079 </t>
  </si>
  <si>
    <t>2457021.636 </t>
  </si>
  <si>
    <t> 30.12.2014 03:15 </t>
  </si>
  <si>
    <t> 0.083 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</si>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</sst>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left" vertical="top"/>
    </xf>
    <xf numFmtId="165" fontId="16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65" fontId="18" fillId="0" borderId="0" xfId="0" applyNumberFormat="1" applyFont="1" applyAlignment="1">
      <alignment horizontal="left" vertical="top"/>
    </xf>
    <xf numFmtId="0" fontId="11" fillId="2" borderId="0" xfId="0" applyFont="1" applyFill="1" applyAlignment="1"/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CMi - O-C Diagr.</a:t>
            </a:r>
          </a:p>
        </c:rich>
      </c:tx>
      <c:layout>
        <c:manualLayout>
          <c:xMode val="edge"/>
          <c:yMode val="edge"/>
          <c:x val="0.342975640441638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23926380368099"/>
          <c:w val="0.7809925234380280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1-495E-999D-382155A0FD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-0.17100000000209548</c:v>
                </c:pt>
                <c:pt idx="2">
                  <c:v>-0.20150000000285218</c:v>
                </c:pt>
                <c:pt idx="3">
                  <c:v>-0.20150000000285218</c:v>
                </c:pt>
                <c:pt idx="4">
                  <c:v>8.3999999995285179E-2</c:v>
                </c:pt>
                <c:pt idx="5">
                  <c:v>-0.94900000000052387</c:v>
                </c:pt>
                <c:pt idx="6">
                  <c:v>-1.397000000004482</c:v>
                </c:pt>
                <c:pt idx="7">
                  <c:v>-1.3930000000036671</c:v>
                </c:pt>
                <c:pt idx="8">
                  <c:v>-1.3765000000057626</c:v>
                </c:pt>
                <c:pt idx="9">
                  <c:v>-1.3725000000049477</c:v>
                </c:pt>
                <c:pt idx="10">
                  <c:v>-1.8670000001293374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1-495E-999D-382155A0FD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1-495E-999D-382155A0FD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1-495E-999D-382155A0FD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61-495E-999D-382155A0FD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61-495E-999D-382155A0FD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0.04</c:v>
                  </c:pt>
                  <c:pt idx="5">
                    <c:v>0.02</c:v>
                  </c:pt>
                  <c:pt idx="6">
                    <c:v>0.02</c:v>
                  </c:pt>
                  <c:pt idx="7">
                    <c:v>0.02</c:v>
                  </c:pt>
                  <c:pt idx="8">
                    <c:v>0.02</c:v>
                  </c:pt>
                  <c:pt idx="9">
                    <c:v>0.02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61-495E-999D-382155A0FD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754</c:v>
                </c:pt>
                <c:pt idx="2">
                  <c:v>1009</c:v>
                </c:pt>
                <c:pt idx="3">
                  <c:v>1009</c:v>
                </c:pt>
                <c:pt idx="4">
                  <c:v>0</c:v>
                </c:pt>
                <c:pt idx="5">
                  <c:v>2466</c:v>
                </c:pt>
                <c:pt idx="6">
                  <c:v>3336</c:v>
                </c:pt>
                <c:pt idx="7">
                  <c:v>3336</c:v>
                </c:pt>
                <c:pt idx="8">
                  <c:v>3337</c:v>
                </c:pt>
                <c:pt idx="9">
                  <c:v>3337</c:v>
                </c:pt>
                <c:pt idx="10">
                  <c:v>4176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0.14891725483446205</c:v>
                </c:pt>
                <c:pt idx="1">
                  <c:v>-0.19836963935352564</c:v>
                </c:pt>
                <c:pt idx="2">
                  <c:v>-0.31582077730834901</c:v>
                </c:pt>
                <c:pt idx="3">
                  <c:v>-0.31582077730834901</c:v>
                </c:pt>
                <c:pt idx="4">
                  <c:v>0.14891725483446205</c:v>
                </c:pt>
                <c:pt idx="5">
                  <c:v>-0.98690433809335965</c:v>
                </c:pt>
                <c:pt idx="6">
                  <c:v>-1.3876199852333455</c:v>
                </c:pt>
                <c:pt idx="7">
                  <c:v>-1.3876199852333455</c:v>
                </c:pt>
                <c:pt idx="8">
                  <c:v>-1.3880805779312073</c:v>
                </c:pt>
                <c:pt idx="9">
                  <c:v>-1.3880805779312073</c:v>
                </c:pt>
                <c:pt idx="10">
                  <c:v>-1.7745178514374698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61-495E-999D-382155A0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918056"/>
        <c:axId val="1"/>
      </c:scatterChart>
      <c:valAx>
        <c:axId val="63391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91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490DE8-5EE5-24EE-5687-4E45D9699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var.astro.cz/oejv/issues/oejv0116.pdf" TargetMode="External"/><Relationship Id="rId6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95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23</v>
      </c>
      <c r="B2" s="11" t="s">
        <v>34</v>
      </c>
    </row>
    <row r="3" spans="1:6" ht="13.5" thickBot="1" x14ac:dyDescent="0.25">
      <c r="C3" s="9" t="s">
        <v>32</v>
      </c>
    </row>
    <row r="4" spans="1:6" ht="14.25" thickTop="1" thickBot="1" x14ac:dyDescent="0.25">
      <c r="A4" s="3" t="s">
        <v>0</v>
      </c>
      <c r="C4" s="7" t="s">
        <v>13</v>
      </c>
      <c r="D4" s="8" t="s">
        <v>13</v>
      </c>
    </row>
    <row r="5" spans="1:6" ht="13.5" thickTop="1" x14ac:dyDescent="0.2">
      <c r="A5" s="16" t="s">
        <v>36</v>
      </c>
      <c r="B5" s="17"/>
      <c r="C5" s="18">
        <v>-9.5</v>
      </c>
      <c r="D5" s="17" t="s">
        <v>37</v>
      </c>
    </row>
    <row r="6" spans="1:6" x14ac:dyDescent="0.2">
      <c r="A6" s="3" t="s">
        <v>1</v>
      </c>
    </row>
    <row r="7" spans="1:6" x14ac:dyDescent="0.2">
      <c r="A7" t="s">
        <v>2</v>
      </c>
      <c r="C7" s="6">
        <v>47170.516000000003</v>
      </c>
    </row>
    <row r="8" spans="1:6" x14ac:dyDescent="0.2">
      <c r="A8" t="s">
        <v>3</v>
      </c>
      <c r="C8" s="6">
        <v>2.9525000000000001</v>
      </c>
    </row>
    <row r="9" spans="1:6" x14ac:dyDescent="0.2">
      <c r="A9" s="32" t="s">
        <v>43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7"/>
      <c r="B10" s="17"/>
      <c r="C10" s="2" t="s">
        <v>19</v>
      </c>
      <c r="D10" s="2" t="s">
        <v>20</v>
      </c>
      <c r="E10" s="17"/>
    </row>
    <row r="11" spans="1:6" x14ac:dyDescent="0.2">
      <c r="A11" s="17" t="s">
        <v>15</v>
      </c>
      <c r="B11" s="17"/>
      <c r="C11" s="19">
        <f ca="1">INTERCEPT(INDIRECT($D$9):G984,INDIRECT($C$9):F984)</f>
        <v>0.14891725483446205</v>
      </c>
      <c r="D11" s="20"/>
      <c r="E11" s="17"/>
    </row>
    <row r="12" spans="1:6" x14ac:dyDescent="0.2">
      <c r="A12" s="17" t="s">
        <v>16</v>
      </c>
      <c r="B12" s="17"/>
      <c r="C12" s="19">
        <f ca="1">SLOPE(INDIRECT($D$9):G984,INDIRECT($C$9):F984)</f>
        <v>-4.6059269786205261E-4</v>
      </c>
      <c r="D12" s="20"/>
      <c r="E12" s="17"/>
    </row>
    <row r="13" spans="1:6" x14ac:dyDescent="0.2">
      <c r="A13" s="17" t="s">
        <v>18</v>
      </c>
      <c r="B13" s="17"/>
      <c r="C13" s="20" t="s">
        <v>13</v>
      </c>
    </row>
    <row r="14" spans="1:6" x14ac:dyDescent="0.2">
      <c r="A14" s="17"/>
      <c r="B14" s="17"/>
      <c r="C14" s="17"/>
    </row>
    <row r="15" spans="1:6" x14ac:dyDescent="0.2">
      <c r="A15" s="25" t="s">
        <v>17</v>
      </c>
      <c r="B15" s="17"/>
      <c r="C15" s="26">
        <f ca="1">(C7+C11)+(C8+C12)*INT(MAX(F21:F3525))</f>
        <v>59498.381482148565</v>
      </c>
      <c r="E15" s="23" t="s">
        <v>38</v>
      </c>
      <c r="F15" s="18">
        <v>1</v>
      </c>
    </row>
    <row r="16" spans="1:6" x14ac:dyDescent="0.2">
      <c r="A16" s="27" t="s">
        <v>4</v>
      </c>
      <c r="B16" s="17"/>
      <c r="C16" s="28">
        <f ca="1">+C8+C12</f>
        <v>2.9520394073021379</v>
      </c>
      <c r="E16" s="23" t="s">
        <v>39</v>
      </c>
      <c r="F16" s="24">
        <f ca="1">NOW()+15018.5+$C$5/24</f>
        <v>59970.843122222221</v>
      </c>
    </row>
    <row r="17" spans="1:31" ht="13.5" thickBot="1" x14ac:dyDescent="0.25">
      <c r="A17" s="23" t="s">
        <v>33</v>
      </c>
      <c r="B17" s="17"/>
      <c r="C17" s="17">
        <f>COUNT(C21:C2183)</f>
        <v>11</v>
      </c>
      <c r="E17" s="23" t="s">
        <v>40</v>
      </c>
      <c r="F17" s="24">
        <f ca="1">ROUND(2*(F16-$C$7)/$C$8,0)/2+F15</f>
        <v>4336.5</v>
      </c>
    </row>
    <row r="18" spans="1:31" ht="14.25" thickTop="1" thickBot="1" x14ac:dyDescent="0.25">
      <c r="A18" s="27" t="s">
        <v>5</v>
      </c>
      <c r="B18" s="17"/>
      <c r="C18" s="30">
        <f ca="1">+C15</f>
        <v>59498.381482148565</v>
      </c>
      <c r="D18" s="31">
        <f ca="1">+C16</f>
        <v>2.9520394073021379</v>
      </c>
      <c r="E18" s="23" t="s">
        <v>41</v>
      </c>
      <c r="F18" s="22">
        <f ca="1">ROUND(2*(F16-$C$15)/$C$16,0)/2+F15</f>
        <v>161</v>
      </c>
    </row>
    <row r="19" spans="1:31" ht="13.5" thickTop="1" x14ac:dyDescent="0.2">
      <c r="E19" s="23" t="s">
        <v>42</v>
      </c>
      <c r="F19" s="29">
        <f ca="1">+$C$15+$C$16*F18-15018.5-$C$5/24</f>
        <v>44955.555660057544</v>
      </c>
    </row>
    <row r="20" spans="1:3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54</v>
      </c>
      <c r="I20" s="5" t="s">
        <v>57</v>
      </c>
      <c r="J20" s="5" t="s">
        <v>51</v>
      </c>
      <c r="K20" s="5" t="s">
        <v>50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2" t="s">
        <v>14</v>
      </c>
    </row>
    <row r="21" spans="1:31" s="12" customFormat="1" x14ac:dyDescent="0.2">
      <c r="A21" s="12" t="s">
        <v>27</v>
      </c>
      <c r="C21" s="13">
        <v>47170.516000000003</v>
      </c>
      <c r="D21" s="14" t="s">
        <v>13</v>
      </c>
      <c r="E21" s="12">
        <f t="shared" ref="E21:E26" si="0">+(C21-C$7)/C$8</f>
        <v>0</v>
      </c>
      <c r="F21" s="12">
        <f>ROUND(2*E21,0)/2</f>
        <v>0</v>
      </c>
      <c r="G21" s="12">
        <f t="shared" ref="G21:G26" si="1">+C21-(C$7+F21*C$8)</f>
        <v>0</v>
      </c>
      <c r="H21" s="12">
        <f>+G21</f>
        <v>0</v>
      </c>
      <c r="O21" s="12">
        <f t="shared" ref="O21:O26" ca="1" si="2">+C$11+C$12*F21</f>
        <v>0.14891725483446205</v>
      </c>
      <c r="Q21" s="15">
        <f t="shared" ref="Q21:Q26" si="3">+C21-15018.5</f>
        <v>32152.016000000003</v>
      </c>
    </row>
    <row r="22" spans="1:31" s="12" customFormat="1" x14ac:dyDescent="0.2">
      <c r="A22" s="12" t="s">
        <v>29</v>
      </c>
      <c r="C22" s="14">
        <v>49396.53</v>
      </c>
      <c r="D22" s="14"/>
      <c r="E22" s="12">
        <f t="shared" si="0"/>
        <v>753.94208298052342</v>
      </c>
      <c r="F22" s="12">
        <f>ROUND(2*E22,0)/2</f>
        <v>754</v>
      </c>
      <c r="G22" s="12">
        <f t="shared" si="1"/>
        <v>-0.17100000000209548</v>
      </c>
      <c r="I22" s="12">
        <f>+G22</f>
        <v>-0.17100000000209548</v>
      </c>
      <c r="O22" s="12">
        <f t="shared" ca="1" si="2"/>
        <v>-0.19836963935352564</v>
      </c>
      <c r="Q22" s="15">
        <f t="shared" si="3"/>
        <v>34378.03</v>
      </c>
      <c r="AA22" s="12">
        <v>28</v>
      </c>
      <c r="AC22" s="12" t="s">
        <v>28</v>
      </c>
      <c r="AE22" s="12" t="s">
        <v>30</v>
      </c>
    </row>
    <row r="23" spans="1:31" s="12" customFormat="1" x14ac:dyDescent="0.2">
      <c r="A23" s="12" t="s">
        <v>31</v>
      </c>
      <c r="C23" s="14">
        <v>50149.387000000002</v>
      </c>
      <c r="D23" s="14">
        <v>0.02</v>
      </c>
      <c r="E23" s="12">
        <f t="shared" si="0"/>
        <v>1008.9317527519048</v>
      </c>
      <c r="F23" s="12">
        <f>ROUND(2*E23,0)/2</f>
        <v>1009</v>
      </c>
      <c r="G23" s="12">
        <f t="shared" si="1"/>
        <v>-0.20150000000285218</v>
      </c>
      <c r="I23" s="12">
        <f t="shared" ref="I23:I30" si="4">+G23</f>
        <v>-0.20150000000285218</v>
      </c>
      <c r="O23" s="12">
        <f t="shared" ca="1" si="2"/>
        <v>-0.31582077730834901</v>
      </c>
      <c r="Q23" s="15">
        <f t="shared" si="3"/>
        <v>35130.887000000002</v>
      </c>
      <c r="AA23" s="12">
        <v>42</v>
      </c>
      <c r="AC23" s="12" t="s">
        <v>28</v>
      </c>
      <c r="AE23" s="12" t="s">
        <v>30</v>
      </c>
    </row>
    <row r="24" spans="1:31" s="12" customFormat="1" x14ac:dyDescent="0.2">
      <c r="A24" s="12" t="s">
        <v>31</v>
      </c>
      <c r="C24" s="14">
        <v>50149.387000000002</v>
      </c>
      <c r="D24" s="14">
        <v>0.02</v>
      </c>
      <c r="E24" s="12">
        <f t="shared" si="0"/>
        <v>1008.9317527519048</v>
      </c>
      <c r="F24" s="12">
        <f>ROUND(2*E24,0)/2</f>
        <v>1009</v>
      </c>
      <c r="G24" s="12">
        <f t="shared" si="1"/>
        <v>-0.20150000000285218</v>
      </c>
      <c r="I24" s="12">
        <f t="shared" si="4"/>
        <v>-0.20150000000285218</v>
      </c>
      <c r="O24" s="12">
        <f t="shared" ca="1" si="2"/>
        <v>-0.31582077730834901</v>
      </c>
      <c r="Q24" s="15">
        <f t="shared" si="3"/>
        <v>35130.887000000002</v>
      </c>
      <c r="AA24" s="12">
        <v>42</v>
      </c>
      <c r="AC24" s="12" t="s">
        <v>28</v>
      </c>
      <c r="AE24" s="12" t="s">
        <v>30</v>
      </c>
    </row>
    <row r="25" spans="1:31" s="12" customFormat="1" x14ac:dyDescent="0.2">
      <c r="A25" s="34" t="s">
        <v>44</v>
      </c>
      <c r="B25" s="35" t="s">
        <v>45</v>
      </c>
      <c r="C25" s="36">
        <v>47170.6</v>
      </c>
      <c r="D25" s="36">
        <v>0.04</v>
      </c>
      <c r="E25" s="12">
        <f t="shared" si="0"/>
        <v>2.8450465705431052E-2</v>
      </c>
      <c r="F25" s="12">
        <f>ROUND(2*E25,0)/2</f>
        <v>0</v>
      </c>
      <c r="G25" s="12">
        <f t="shared" si="1"/>
        <v>8.3999999995285179E-2</v>
      </c>
      <c r="I25" s="12">
        <f t="shared" si="4"/>
        <v>8.3999999995285179E-2</v>
      </c>
      <c r="O25" s="12">
        <f t="shared" ca="1" si="2"/>
        <v>0.14891725483446205</v>
      </c>
      <c r="Q25" s="15">
        <f t="shared" si="3"/>
        <v>32152.1</v>
      </c>
    </row>
    <row r="26" spans="1:31" s="12" customFormat="1" x14ac:dyDescent="0.2">
      <c r="A26" s="34" t="s">
        <v>44</v>
      </c>
      <c r="B26" s="35" t="s">
        <v>45</v>
      </c>
      <c r="C26" s="37">
        <v>54450.432000000001</v>
      </c>
      <c r="D26" s="37">
        <v>0.02</v>
      </c>
      <c r="E26" s="12">
        <f t="shared" si="0"/>
        <v>2465.6785774767136</v>
      </c>
      <c r="F26" s="41">
        <f t="shared" ref="F26:F31" si="5">ROUND(2*E26,0)/2+0.5</f>
        <v>2466</v>
      </c>
      <c r="G26" s="12">
        <f t="shared" si="1"/>
        <v>-0.94900000000052387</v>
      </c>
      <c r="I26" s="12">
        <f t="shared" si="4"/>
        <v>-0.94900000000052387</v>
      </c>
      <c r="O26" s="12">
        <f t="shared" ca="1" si="2"/>
        <v>-0.98690433809335965</v>
      </c>
      <c r="Q26" s="15">
        <f t="shared" si="3"/>
        <v>39431.932000000001</v>
      </c>
    </row>
    <row r="27" spans="1:31" s="12" customFormat="1" x14ac:dyDescent="0.2">
      <c r="A27" s="38" t="s">
        <v>46</v>
      </c>
      <c r="B27" s="39" t="s">
        <v>45</v>
      </c>
      <c r="C27" s="40">
        <v>57018.659</v>
      </c>
      <c r="D27" s="40">
        <v>0.02</v>
      </c>
      <c r="E27" s="12">
        <f>+(C27-C$7)/C$8</f>
        <v>3335.5268416596091</v>
      </c>
      <c r="F27" s="41">
        <f t="shared" si="5"/>
        <v>3336</v>
      </c>
      <c r="G27" s="12">
        <f>+C27-(C$7+F27*C$8)</f>
        <v>-1.397000000004482</v>
      </c>
      <c r="I27" s="12">
        <f t="shared" si="4"/>
        <v>-1.397000000004482</v>
      </c>
      <c r="O27" s="12">
        <f ca="1">+C$11+C$12*F27</f>
        <v>-1.3876199852333455</v>
      </c>
      <c r="Q27" s="15">
        <f>+C27-15018.5</f>
        <v>42000.159</v>
      </c>
    </row>
    <row r="28" spans="1:31" x14ac:dyDescent="0.2">
      <c r="A28" s="38" t="s">
        <v>46</v>
      </c>
      <c r="B28" s="39" t="s">
        <v>45</v>
      </c>
      <c r="C28" s="40">
        <v>57018.663</v>
      </c>
      <c r="D28" s="40">
        <v>0.02</v>
      </c>
      <c r="E28" s="12">
        <f>+(C28-C$7)/C$8</f>
        <v>3335.5281964436908</v>
      </c>
      <c r="F28" s="41">
        <f t="shared" si="5"/>
        <v>3336</v>
      </c>
      <c r="G28" s="12">
        <f>+C28-(C$7+F28*C$8)</f>
        <v>-1.3930000000036671</v>
      </c>
      <c r="H28" s="12"/>
      <c r="I28" s="12">
        <f t="shared" si="4"/>
        <v>-1.3930000000036671</v>
      </c>
      <c r="J28" s="12"/>
      <c r="K28" s="12"/>
      <c r="L28" s="12"/>
      <c r="M28" s="12"/>
      <c r="N28" s="12"/>
      <c r="O28" s="12">
        <f ca="1">+C$11+C$12*F28</f>
        <v>-1.3876199852333455</v>
      </c>
      <c r="P28" s="12"/>
      <c r="Q28" s="15">
        <f>+C28-15018.5</f>
        <v>42000.163</v>
      </c>
    </row>
    <row r="29" spans="1:31" x14ac:dyDescent="0.2">
      <c r="A29" s="38" t="s">
        <v>46</v>
      </c>
      <c r="B29" s="39" t="s">
        <v>47</v>
      </c>
      <c r="C29" s="40">
        <v>57021.631999999998</v>
      </c>
      <c r="D29" s="40">
        <v>0.02</v>
      </c>
      <c r="E29" s="12">
        <f>+(C29-C$7)/C$8</f>
        <v>3336.5337849280249</v>
      </c>
      <c r="F29" s="41">
        <f t="shared" si="5"/>
        <v>3337</v>
      </c>
      <c r="G29" s="12">
        <f>+C29-(C$7+F29*C$8)</f>
        <v>-1.3765000000057626</v>
      </c>
      <c r="H29" s="12"/>
      <c r="I29" s="12">
        <f t="shared" si="4"/>
        <v>-1.3765000000057626</v>
      </c>
      <c r="J29" s="12"/>
      <c r="K29" s="12"/>
      <c r="L29" s="12"/>
      <c r="M29" s="12"/>
      <c r="N29" s="12"/>
      <c r="O29" s="12">
        <f ca="1">+C$11+C$12*F29</f>
        <v>-1.3880805779312073</v>
      </c>
      <c r="P29" s="12"/>
      <c r="Q29" s="15">
        <f>+C29-15018.5</f>
        <v>42003.131999999998</v>
      </c>
    </row>
    <row r="30" spans="1:31" x14ac:dyDescent="0.2">
      <c r="A30" s="38" t="s">
        <v>46</v>
      </c>
      <c r="B30" s="39" t="s">
        <v>47</v>
      </c>
      <c r="C30" s="40">
        <v>57021.635999999999</v>
      </c>
      <c r="D30" s="40">
        <v>0.02</v>
      </c>
      <c r="E30" s="12">
        <f>+(C30-C$7)/C$8</f>
        <v>3336.5351397121067</v>
      </c>
      <c r="F30" s="41">
        <f t="shared" si="5"/>
        <v>3337</v>
      </c>
      <c r="G30" s="12">
        <f>+C30-(C$7+F30*C$8)</f>
        <v>-1.3725000000049477</v>
      </c>
      <c r="H30" s="12"/>
      <c r="I30" s="12">
        <f t="shared" si="4"/>
        <v>-1.3725000000049477</v>
      </c>
      <c r="J30" s="12"/>
      <c r="K30" s="12"/>
      <c r="L30" s="12"/>
      <c r="M30" s="12"/>
      <c r="N30" s="12"/>
      <c r="O30" s="12">
        <f ca="1">+C$11+C$12*F30</f>
        <v>-1.3880805779312073</v>
      </c>
      <c r="P30" s="12"/>
      <c r="Q30" s="15">
        <f>+C30-15018.5</f>
        <v>42003.135999999999</v>
      </c>
    </row>
    <row r="31" spans="1:31" x14ac:dyDescent="0.2">
      <c r="A31" s="55" t="s">
        <v>92</v>
      </c>
      <c r="B31" s="56" t="s">
        <v>45</v>
      </c>
      <c r="C31" s="57">
        <v>59498.288999999873</v>
      </c>
      <c r="D31" s="56" t="s">
        <v>93</v>
      </c>
      <c r="E31" s="12">
        <f>+(C31-C$7)/C$8</f>
        <v>4175.367654530015</v>
      </c>
      <c r="F31" s="41">
        <f t="shared" si="5"/>
        <v>4176</v>
      </c>
      <c r="G31" s="12">
        <f>+C31-(C$7+F31*C$8)</f>
        <v>-1.8670000001293374</v>
      </c>
      <c r="H31" s="12"/>
      <c r="I31" s="12">
        <f t="shared" ref="I31" si="6">+G31</f>
        <v>-1.8670000001293374</v>
      </c>
      <c r="J31" s="12"/>
      <c r="K31" s="12"/>
      <c r="L31" s="12"/>
      <c r="M31" s="12"/>
      <c r="N31" s="12"/>
      <c r="O31" s="12">
        <f ca="1">+C$11+C$12*F31</f>
        <v>-1.7745178514374698</v>
      </c>
      <c r="P31" s="12"/>
      <c r="Q31" s="15">
        <f>+C31-15018.5</f>
        <v>44479.788999999873</v>
      </c>
    </row>
    <row r="32" spans="1:3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workbookViewId="0">
      <selection activeCell="A11" sqref="A11:D18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2" t="s">
        <v>48</v>
      </c>
      <c r="I1" s="43" t="s">
        <v>49</v>
      </c>
      <c r="J1" s="44" t="s">
        <v>50</v>
      </c>
    </row>
    <row r="2" spans="1:16" x14ac:dyDescent="0.2">
      <c r="I2" s="45" t="s">
        <v>34</v>
      </c>
      <c r="J2" s="46" t="s">
        <v>51</v>
      </c>
    </row>
    <row r="3" spans="1:16" x14ac:dyDescent="0.2">
      <c r="A3" s="47" t="s">
        <v>52</v>
      </c>
      <c r="I3" s="45" t="s">
        <v>53</v>
      </c>
      <c r="J3" s="46" t="s">
        <v>54</v>
      </c>
    </row>
    <row r="4" spans="1:16" x14ac:dyDescent="0.2">
      <c r="I4" s="45" t="s">
        <v>55</v>
      </c>
      <c r="J4" s="46" t="s">
        <v>54</v>
      </c>
    </row>
    <row r="5" spans="1:16" ht="13.5" thickBot="1" x14ac:dyDescent="0.25">
      <c r="I5" s="48" t="s">
        <v>56</v>
      </c>
      <c r="J5" s="49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18" si="0">P11</f>
        <v>OEJV 0116 </v>
      </c>
      <c r="B11" s="20" t="str">
        <f t="shared" ref="B11:B18" si="1">IF(H11=INT(H11),"I","II")</f>
        <v>I</v>
      </c>
      <c r="C11" s="10">
        <f t="shared" ref="C11:C18" si="2">1*G11</f>
        <v>47170.6</v>
      </c>
      <c r="D11" s="17" t="str">
        <f t="shared" ref="D11:D18" si="3">VLOOKUP(F11,I$1:J$5,2,FALSE)</f>
        <v>vis</v>
      </c>
      <c r="E11" s="50">
        <f>VLOOKUP(C11,Active!C$21:E$965,3,FALSE)</f>
        <v>2.8450465705431052E-2</v>
      </c>
      <c r="F11" s="20" t="s">
        <v>56</v>
      </c>
      <c r="G11" s="17" t="str">
        <f t="shared" ref="G11:G18" si="4">MID(I11,3,LEN(I11)-3)</f>
        <v>47170.60</v>
      </c>
      <c r="H11" s="10">
        <f t="shared" ref="H11:H18" si="5">1*K11</f>
        <v>-1117</v>
      </c>
      <c r="I11" s="51" t="s">
        <v>58</v>
      </c>
      <c r="J11" s="52" t="s">
        <v>59</v>
      </c>
      <c r="K11" s="51">
        <v>-1117</v>
      </c>
      <c r="L11" s="51" t="s">
        <v>60</v>
      </c>
      <c r="M11" s="52" t="s">
        <v>61</v>
      </c>
      <c r="N11" s="52"/>
      <c r="O11" s="53" t="s">
        <v>62</v>
      </c>
      <c r="P11" s="54" t="s">
        <v>63</v>
      </c>
    </row>
    <row r="12" spans="1:16" ht="12.75" customHeight="1" thickBot="1" x14ac:dyDescent="0.25">
      <c r="A12" s="10" t="str">
        <f t="shared" si="0"/>
        <v> BBS 106 </v>
      </c>
      <c r="B12" s="20" t="str">
        <f t="shared" si="1"/>
        <v>I</v>
      </c>
      <c r="C12" s="10">
        <f t="shared" si="2"/>
        <v>49396.53</v>
      </c>
      <c r="D12" s="17" t="str">
        <f t="shared" si="3"/>
        <v>vis</v>
      </c>
      <c r="E12" s="50">
        <f>VLOOKUP(C12,Active!C$21:E$965,3,FALSE)</f>
        <v>753.94208298052342</v>
      </c>
      <c r="F12" s="20" t="s">
        <v>56</v>
      </c>
      <c r="G12" s="17" t="str">
        <f t="shared" si="4"/>
        <v>49396.53</v>
      </c>
      <c r="H12" s="10">
        <f t="shared" si="5"/>
        <v>-740</v>
      </c>
      <c r="I12" s="51" t="s">
        <v>64</v>
      </c>
      <c r="J12" s="52" t="s">
        <v>65</v>
      </c>
      <c r="K12" s="51">
        <v>-740</v>
      </c>
      <c r="L12" s="51" t="s">
        <v>66</v>
      </c>
      <c r="M12" s="52" t="s">
        <v>67</v>
      </c>
      <c r="N12" s="52" t="s">
        <v>68</v>
      </c>
      <c r="O12" s="53" t="s">
        <v>62</v>
      </c>
      <c r="P12" s="53" t="s">
        <v>69</v>
      </c>
    </row>
    <row r="13" spans="1:16" ht="12.75" customHeight="1" thickBot="1" x14ac:dyDescent="0.25">
      <c r="A13" s="10" t="str">
        <f t="shared" si="0"/>
        <v> BBS 112 </v>
      </c>
      <c r="B13" s="20" t="str">
        <f t="shared" si="1"/>
        <v>II</v>
      </c>
      <c r="C13" s="10">
        <f t="shared" si="2"/>
        <v>50149.387000000002</v>
      </c>
      <c r="D13" s="17" t="str">
        <f t="shared" si="3"/>
        <v>vis</v>
      </c>
      <c r="E13" s="50">
        <f>VLOOKUP(C13,Active!C$21:E$965,3,FALSE)</f>
        <v>1008.9317527519048</v>
      </c>
      <c r="F13" s="20" t="s">
        <v>56</v>
      </c>
      <c r="G13" s="17" t="str">
        <f t="shared" si="4"/>
        <v>50149.387</v>
      </c>
      <c r="H13" s="10">
        <f t="shared" si="5"/>
        <v>-612.5</v>
      </c>
      <c r="I13" s="51" t="s">
        <v>70</v>
      </c>
      <c r="J13" s="52" t="s">
        <v>71</v>
      </c>
      <c r="K13" s="51">
        <v>-612.5</v>
      </c>
      <c r="L13" s="51" t="s">
        <v>72</v>
      </c>
      <c r="M13" s="52" t="s">
        <v>67</v>
      </c>
      <c r="N13" s="52" t="s">
        <v>68</v>
      </c>
      <c r="O13" s="53" t="s">
        <v>62</v>
      </c>
      <c r="P13" s="53" t="s">
        <v>73</v>
      </c>
    </row>
    <row r="14" spans="1:16" ht="12.75" customHeight="1" thickBot="1" x14ac:dyDescent="0.25">
      <c r="A14" s="10" t="str">
        <f t="shared" si="0"/>
        <v>OEJV 0116 </v>
      </c>
      <c r="B14" s="20" t="str">
        <f t="shared" si="1"/>
        <v>I</v>
      </c>
      <c r="C14" s="10">
        <f t="shared" si="2"/>
        <v>54450.432000000001</v>
      </c>
      <c r="D14" s="17" t="str">
        <f t="shared" si="3"/>
        <v>vis</v>
      </c>
      <c r="E14" s="50">
        <f>VLOOKUP(C14,Active!C$21:E$965,3,FALSE)</f>
        <v>2465.6785774767136</v>
      </c>
      <c r="F14" s="20" t="s">
        <v>56</v>
      </c>
      <c r="G14" s="17" t="str">
        <f t="shared" si="4"/>
        <v>54450.432</v>
      </c>
      <c r="H14" s="10">
        <f t="shared" si="5"/>
        <v>116</v>
      </c>
      <c r="I14" s="51" t="s">
        <v>74</v>
      </c>
      <c r="J14" s="52" t="s">
        <v>75</v>
      </c>
      <c r="K14" s="51">
        <v>116</v>
      </c>
      <c r="L14" s="51" t="s">
        <v>76</v>
      </c>
      <c r="M14" s="52" t="s">
        <v>77</v>
      </c>
      <c r="N14" s="52" t="s">
        <v>78</v>
      </c>
      <c r="O14" s="53" t="s">
        <v>62</v>
      </c>
      <c r="P14" s="54" t="s">
        <v>63</v>
      </c>
    </row>
    <row r="15" spans="1:16" ht="12.75" customHeight="1" thickBot="1" x14ac:dyDescent="0.25">
      <c r="A15" s="10" t="str">
        <f t="shared" si="0"/>
        <v>OEJV 0172 </v>
      </c>
      <c r="B15" s="20" t="str">
        <f t="shared" si="1"/>
        <v>I</v>
      </c>
      <c r="C15" s="10">
        <f t="shared" si="2"/>
        <v>57018.659</v>
      </c>
      <c r="D15" s="17" t="str">
        <f t="shared" si="3"/>
        <v>vis</v>
      </c>
      <c r="E15" s="50">
        <f>VLOOKUP(C15,Active!C$21:E$965,3,FALSE)</f>
        <v>3335.5268416596091</v>
      </c>
      <c r="F15" s="20" t="s">
        <v>56</v>
      </c>
      <c r="G15" s="17" t="str">
        <f t="shared" si="4"/>
        <v>57018.659</v>
      </c>
      <c r="H15" s="10">
        <f t="shared" si="5"/>
        <v>551</v>
      </c>
      <c r="I15" s="51" t="s">
        <v>79</v>
      </c>
      <c r="J15" s="52" t="s">
        <v>80</v>
      </c>
      <c r="K15" s="51">
        <v>551</v>
      </c>
      <c r="L15" s="51" t="s">
        <v>81</v>
      </c>
      <c r="M15" s="52" t="s">
        <v>77</v>
      </c>
      <c r="N15" s="52" t="s">
        <v>45</v>
      </c>
      <c r="O15" s="53" t="s">
        <v>62</v>
      </c>
      <c r="P15" s="54" t="s">
        <v>82</v>
      </c>
    </row>
    <row r="16" spans="1:16" ht="12.75" customHeight="1" thickBot="1" x14ac:dyDescent="0.25">
      <c r="A16" s="10" t="str">
        <f t="shared" si="0"/>
        <v>OEJV 0172 </v>
      </c>
      <c r="B16" s="20" t="str">
        <f t="shared" si="1"/>
        <v>I</v>
      </c>
      <c r="C16" s="10">
        <f t="shared" si="2"/>
        <v>57018.663</v>
      </c>
      <c r="D16" s="17" t="str">
        <f t="shared" si="3"/>
        <v>vis</v>
      </c>
      <c r="E16" s="50">
        <f>VLOOKUP(C16,Active!C$21:E$965,3,FALSE)</f>
        <v>3335.5281964436908</v>
      </c>
      <c r="F16" s="20" t="s">
        <v>56</v>
      </c>
      <c r="G16" s="17" t="str">
        <f t="shared" si="4"/>
        <v>57018.663</v>
      </c>
      <c r="H16" s="10">
        <f t="shared" si="5"/>
        <v>551</v>
      </c>
      <c r="I16" s="51" t="s">
        <v>83</v>
      </c>
      <c r="J16" s="52" t="s">
        <v>84</v>
      </c>
      <c r="K16" s="51">
        <v>551</v>
      </c>
      <c r="L16" s="51" t="s">
        <v>85</v>
      </c>
      <c r="M16" s="52" t="s">
        <v>77</v>
      </c>
      <c r="N16" s="52" t="s">
        <v>45</v>
      </c>
      <c r="O16" s="53" t="s">
        <v>62</v>
      </c>
      <c r="P16" s="54" t="s">
        <v>82</v>
      </c>
    </row>
    <row r="17" spans="1:16" ht="12.75" customHeight="1" thickBot="1" x14ac:dyDescent="0.25">
      <c r="A17" s="10" t="str">
        <f t="shared" si="0"/>
        <v>OEJV 0172 </v>
      </c>
      <c r="B17" s="20" t="str">
        <f t="shared" si="1"/>
        <v>II</v>
      </c>
      <c r="C17" s="10">
        <f t="shared" si="2"/>
        <v>57021.631999999998</v>
      </c>
      <c r="D17" s="17" t="str">
        <f t="shared" si="3"/>
        <v>vis</v>
      </c>
      <c r="E17" s="50">
        <f>VLOOKUP(C17,Active!C$21:E$965,3,FALSE)</f>
        <v>3336.5337849280249</v>
      </c>
      <c r="F17" s="20" t="s">
        <v>56</v>
      </c>
      <c r="G17" s="17" t="str">
        <f t="shared" si="4"/>
        <v>57021.632</v>
      </c>
      <c r="H17" s="10">
        <f t="shared" si="5"/>
        <v>551.5</v>
      </c>
      <c r="I17" s="51" t="s">
        <v>86</v>
      </c>
      <c r="J17" s="52" t="s">
        <v>87</v>
      </c>
      <c r="K17" s="51">
        <v>551.5</v>
      </c>
      <c r="L17" s="51" t="s">
        <v>88</v>
      </c>
      <c r="M17" s="52" t="s">
        <v>77</v>
      </c>
      <c r="N17" s="52" t="s">
        <v>56</v>
      </c>
      <c r="O17" s="53" t="s">
        <v>62</v>
      </c>
      <c r="P17" s="54" t="s">
        <v>82</v>
      </c>
    </row>
    <row r="18" spans="1:16" ht="12.75" customHeight="1" thickBot="1" x14ac:dyDescent="0.25">
      <c r="A18" s="10" t="str">
        <f t="shared" si="0"/>
        <v>OEJV 0172 </v>
      </c>
      <c r="B18" s="20" t="str">
        <f t="shared" si="1"/>
        <v>II</v>
      </c>
      <c r="C18" s="10">
        <f t="shared" si="2"/>
        <v>57021.635999999999</v>
      </c>
      <c r="D18" s="17" t="str">
        <f t="shared" si="3"/>
        <v>vis</v>
      </c>
      <c r="E18" s="50">
        <f>VLOOKUP(C18,Active!C$21:E$965,3,FALSE)</f>
        <v>3336.5351397121067</v>
      </c>
      <c r="F18" s="20" t="s">
        <v>56</v>
      </c>
      <c r="G18" s="17" t="str">
        <f t="shared" si="4"/>
        <v>57021.636</v>
      </c>
      <c r="H18" s="10">
        <f t="shared" si="5"/>
        <v>551.5</v>
      </c>
      <c r="I18" s="51" t="s">
        <v>89</v>
      </c>
      <c r="J18" s="52" t="s">
        <v>90</v>
      </c>
      <c r="K18" s="51">
        <v>551.5</v>
      </c>
      <c r="L18" s="51" t="s">
        <v>91</v>
      </c>
      <c r="M18" s="52" t="s">
        <v>77</v>
      </c>
      <c r="N18" s="52" t="s">
        <v>56</v>
      </c>
      <c r="O18" s="53" t="s">
        <v>62</v>
      </c>
      <c r="P18" s="54" t="s">
        <v>82</v>
      </c>
    </row>
    <row r="19" spans="1:16" x14ac:dyDescent="0.2">
      <c r="B19" s="20"/>
      <c r="E19" s="50"/>
      <c r="F19" s="20"/>
    </row>
    <row r="20" spans="1:16" x14ac:dyDescent="0.2">
      <c r="B20" s="20"/>
      <c r="E20" s="50"/>
      <c r="F20" s="20"/>
    </row>
    <row r="21" spans="1:16" x14ac:dyDescent="0.2">
      <c r="B21" s="20"/>
      <c r="E21" s="50"/>
      <c r="F21" s="20"/>
    </row>
    <row r="22" spans="1:16" x14ac:dyDescent="0.2">
      <c r="B22" s="20"/>
      <c r="E22" s="50"/>
      <c r="F22" s="20"/>
    </row>
    <row r="23" spans="1:16" x14ac:dyDescent="0.2">
      <c r="B23" s="20"/>
      <c r="E23" s="50"/>
      <c r="F23" s="20"/>
    </row>
    <row r="24" spans="1:16" x14ac:dyDescent="0.2">
      <c r="B24" s="20"/>
      <c r="E24" s="50"/>
      <c r="F24" s="20"/>
    </row>
    <row r="25" spans="1:16" x14ac:dyDescent="0.2">
      <c r="B25" s="20"/>
      <c r="E25" s="50"/>
      <c r="F25" s="20"/>
    </row>
    <row r="26" spans="1:16" x14ac:dyDescent="0.2">
      <c r="B26" s="20"/>
      <c r="E26" s="50"/>
      <c r="F26" s="20"/>
    </row>
    <row r="27" spans="1:16" x14ac:dyDescent="0.2">
      <c r="B27" s="20"/>
      <c r="E27" s="50"/>
      <c r="F27" s="20"/>
    </row>
    <row r="28" spans="1:16" x14ac:dyDescent="0.2">
      <c r="B28" s="20"/>
      <c r="E28" s="50"/>
      <c r="F28" s="20"/>
    </row>
    <row r="29" spans="1:16" x14ac:dyDescent="0.2">
      <c r="B29" s="20"/>
      <c r="E29" s="50"/>
      <c r="F29" s="20"/>
    </row>
    <row r="30" spans="1:16" x14ac:dyDescent="0.2">
      <c r="B30" s="20"/>
      <c r="E30" s="50"/>
      <c r="F30" s="20"/>
    </row>
    <row r="31" spans="1:16" x14ac:dyDescent="0.2">
      <c r="B31" s="20"/>
      <c r="E31" s="50"/>
      <c r="F31" s="20"/>
    </row>
    <row r="32" spans="1:16" x14ac:dyDescent="0.2">
      <c r="B32" s="20"/>
      <c r="E32" s="50"/>
      <c r="F32" s="20"/>
    </row>
    <row r="33" spans="2:6" x14ac:dyDescent="0.2">
      <c r="B33" s="20"/>
      <c r="E33" s="50"/>
      <c r="F33" s="20"/>
    </row>
    <row r="34" spans="2:6" x14ac:dyDescent="0.2">
      <c r="B34" s="20"/>
      <c r="E34" s="50"/>
      <c r="F34" s="20"/>
    </row>
    <row r="35" spans="2:6" x14ac:dyDescent="0.2">
      <c r="B35" s="20"/>
      <c r="E35" s="50"/>
      <c r="F35" s="20"/>
    </row>
    <row r="36" spans="2:6" x14ac:dyDescent="0.2">
      <c r="B36" s="20"/>
      <c r="E36" s="50"/>
      <c r="F36" s="20"/>
    </row>
    <row r="37" spans="2:6" x14ac:dyDescent="0.2">
      <c r="B37" s="20"/>
      <c r="E37" s="50"/>
      <c r="F37" s="20"/>
    </row>
    <row r="38" spans="2:6" x14ac:dyDescent="0.2">
      <c r="B38" s="20"/>
      <c r="E38" s="50"/>
      <c r="F38" s="20"/>
    </row>
    <row r="39" spans="2:6" x14ac:dyDescent="0.2">
      <c r="B39" s="20"/>
      <c r="E39" s="50"/>
      <c r="F39" s="20"/>
    </row>
    <row r="40" spans="2:6" x14ac:dyDescent="0.2">
      <c r="B40" s="20"/>
      <c r="E40" s="50"/>
      <c r="F40" s="20"/>
    </row>
    <row r="41" spans="2:6" x14ac:dyDescent="0.2">
      <c r="B41" s="20"/>
      <c r="E41" s="50"/>
      <c r="F41" s="20"/>
    </row>
    <row r="42" spans="2:6" x14ac:dyDescent="0.2">
      <c r="B42" s="20"/>
      <c r="F42" s="20"/>
    </row>
    <row r="43" spans="2:6" x14ac:dyDescent="0.2">
      <c r="B43" s="20"/>
      <c r="F43" s="20"/>
    </row>
    <row r="44" spans="2:6" x14ac:dyDescent="0.2">
      <c r="B44" s="20"/>
      <c r="F44" s="20"/>
    </row>
    <row r="45" spans="2:6" x14ac:dyDescent="0.2">
      <c r="B45" s="20"/>
      <c r="F45" s="20"/>
    </row>
    <row r="46" spans="2:6" x14ac:dyDescent="0.2">
      <c r="B46" s="20"/>
      <c r="F46" s="20"/>
    </row>
    <row r="47" spans="2:6" x14ac:dyDescent="0.2">
      <c r="B47" s="20"/>
      <c r="F47" s="20"/>
    </row>
    <row r="48" spans="2:6" x14ac:dyDescent="0.2">
      <c r="B48" s="20"/>
      <c r="F48" s="20"/>
    </row>
    <row r="49" spans="2:6" x14ac:dyDescent="0.2">
      <c r="B49" s="20"/>
      <c r="F49" s="20"/>
    </row>
    <row r="50" spans="2:6" x14ac:dyDescent="0.2">
      <c r="B50" s="20"/>
      <c r="F50" s="20"/>
    </row>
    <row r="51" spans="2:6" x14ac:dyDescent="0.2">
      <c r="B51" s="20"/>
      <c r="F51" s="20"/>
    </row>
    <row r="52" spans="2:6" x14ac:dyDescent="0.2">
      <c r="B52" s="20"/>
      <c r="F52" s="20"/>
    </row>
    <row r="53" spans="2:6" x14ac:dyDescent="0.2">
      <c r="B53" s="20"/>
      <c r="F53" s="20"/>
    </row>
    <row r="54" spans="2:6" x14ac:dyDescent="0.2">
      <c r="B54" s="20"/>
      <c r="F54" s="20"/>
    </row>
    <row r="55" spans="2:6" x14ac:dyDescent="0.2">
      <c r="B55" s="20"/>
      <c r="F55" s="20"/>
    </row>
    <row r="56" spans="2:6" x14ac:dyDescent="0.2">
      <c r="B56" s="20"/>
      <c r="F56" s="20"/>
    </row>
    <row r="57" spans="2:6" x14ac:dyDescent="0.2">
      <c r="B57" s="20"/>
      <c r="F57" s="20"/>
    </row>
    <row r="58" spans="2:6" x14ac:dyDescent="0.2">
      <c r="B58" s="20"/>
      <c r="F58" s="20"/>
    </row>
    <row r="59" spans="2:6" x14ac:dyDescent="0.2">
      <c r="B59" s="20"/>
      <c r="F59" s="20"/>
    </row>
    <row r="60" spans="2:6" x14ac:dyDescent="0.2">
      <c r="B60" s="20"/>
      <c r="F60" s="20"/>
    </row>
    <row r="61" spans="2:6" x14ac:dyDescent="0.2">
      <c r="B61" s="20"/>
      <c r="F61" s="20"/>
    </row>
    <row r="62" spans="2:6" x14ac:dyDescent="0.2">
      <c r="B62" s="20"/>
      <c r="F62" s="20"/>
    </row>
    <row r="63" spans="2:6" x14ac:dyDescent="0.2">
      <c r="B63" s="20"/>
      <c r="F63" s="20"/>
    </row>
    <row r="64" spans="2:6" x14ac:dyDescent="0.2">
      <c r="B64" s="20"/>
      <c r="F64" s="20"/>
    </row>
    <row r="65" spans="2:6" x14ac:dyDescent="0.2">
      <c r="B65" s="20"/>
      <c r="F65" s="20"/>
    </row>
    <row r="66" spans="2:6" x14ac:dyDescent="0.2">
      <c r="B66" s="20"/>
      <c r="F66" s="20"/>
    </row>
    <row r="67" spans="2:6" x14ac:dyDescent="0.2">
      <c r="B67" s="20"/>
      <c r="F67" s="20"/>
    </row>
    <row r="68" spans="2:6" x14ac:dyDescent="0.2">
      <c r="B68" s="20"/>
      <c r="F68" s="20"/>
    </row>
    <row r="69" spans="2:6" x14ac:dyDescent="0.2">
      <c r="B69" s="20"/>
      <c r="F69" s="20"/>
    </row>
    <row r="70" spans="2:6" x14ac:dyDescent="0.2">
      <c r="B70" s="20"/>
      <c r="F70" s="20"/>
    </row>
    <row r="71" spans="2:6" x14ac:dyDescent="0.2">
      <c r="B71" s="20"/>
      <c r="F71" s="20"/>
    </row>
    <row r="72" spans="2:6" x14ac:dyDescent="0.2">
      <c r="B72" s="20"/>
      <c r="F72" s="20"/>
    </row>
    <row r="73" spans="2:6" x14ac:dyDescent="0.2">
      <c r="B73" s="20"/>
      <c r="F73" s="20"/>
    </row>
    <row r="74" spans="2:6" x14ac:dyDescent="0.2">
      <c r="B74" s="20"/>
      <c r="F74" s="20"/>
    </row>
    <row r="75" spans="2:6" x14ac:dyDescent="0.2">
      <c r="B75" s="20"/>
      <c r="F75" s="20"/>
    </row>
    <row r="76" spans="2:6" x14ac:dyDescent="0.2">
      <c r="B76" s="20"/>
      <c r="F76" s="20"/>
    </row>
    <row r="77" spans="2:6" x14ac:dyDescent="0.2">
      <c r="B77" s="20"/>
      <c r="F77" s="20"/>
    </row>
    <row r="78" spans="2:6" x14ac:dyDescent="0.2">
      <c r="B78" s="20"/>
      <c r="F78" s="20"/>
    </row>
    <row r="79" spans="2:6" x14ac:dyDescent="0.2">
      <c r="B79" s="20"/>
      <c r="F79" s="20"/>
    </row>
    <row r="80" spans="2: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</sheetData>
  <phoneticPr fontId="7" type="noConversion"/>
  <hyperlinks>
    <hyperlink ref="P11" r:id="rId1" display="http://var.astro.cz/oejv/issues/oejv0116.pdf" xr:uid="{00000000-0004-0000-0100-000000000000}"/>
    <hyperlink ref="P14" r:id="rId2" display="http://var.astro.cz/oejv/issues/oejv0116.pdf" xr:uid="{00000000-0004-0000-0100-000001000000}"/>
    <hyperlink ref="P15" r:id="rId3" display="http://var.astro.cz/oejv/issues/oejv0172.pdf" xr:uid="{00000000-0004-0000-0100-000002000000}"/>
    <hyperlink ref="P16" r:id="rId4" display="http://var.astro.cz/oejv/issues/oejv0172.pdf" xr:uid="{00000000-0004-0000-0100-000003000000}"/>
    <hyperlink ref="P17" r:id="rId5" display="http://var.astro.cz/oejv/issues/oejv0172.pdf" xr:uid="{00000000-0004-0000-0100-000004000000}"/>
    <hyperlink ref="P18" r:id="rId6" display="http://var.astro.cz/oejv/issues/oejv0172.pdf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2023-01-26T07:14:05Z</dcterms:modified>
</cp:coreProperties>
</file>