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95B1ECA-1212-46FD-BDA3-3F075E8C01F8}" xr6:coauthVersionLast="47" xr6:coauthVersionMax="47" xr10:uidLastSave="{00000000-0000-0000-0000-000000000000}"/>
  <bookViews>
    <workbookView xWindow="14115" yWindow="345" windowWidth="12975" windowHeight="14640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F41" i="1" s="1"/>
  <c r="Q41" i="1"/>
  <c r="E37" i="1"/>
  <c r="F37" i="1" s="1"/>
  <c r="G37" i="1" s="1"/>
  <c r="K37" i="1" s="1"/>
  <c r="E39" i="1"/>
  <c r="F39" i="1" s="1"/>
  <c r="G39" i="1" s="1"/>
  <c r="K39" i="1" s="1"/>
  <c r="E36" i="1"/>
  <c r="F36" i="1"/>
  <c r="G36" i="1" s="1"/>
  <c r="K36" i="1" s="1"/>
  <c r="E38" i="1"/>
  <c r="F38" i="1" s="1"/>
  <c r="G38" i="1" s="1"/>
  <c r="K38" i="1" s="1"/>
  <c r="E40" i="1"/>
  <c r="F40" i="1" s="1"/>
  <c r="G40" i="1" s="1"/>
  <c r="L40" i="1" s="1"/>
  <c r="E42" i="1"/>
  <c r="F42" i="1" s="1"/>
  <c r="G42" i="1" s="1"/>
  <c r="L42" i="1" s="1"/>
  <c r="Q37" i="1"/>
  <c r="Q39" i="1"/>
  <c r="D11" i="1"/>
  <c r="W3" i="1" s="1"/>
  <c r="D12" i="1"/>
  <c r="Q38" i="1"/>
  <c r="E35" i="1"/>
  <c r="F35" i="1"/>
  <c r="D13" i="1"/>
  <c r="W18" i="1"/>
  <c r="W2" i="1"/>
  <c r="Q21" i="1"/>
  <c r="D9" i="1"/>
  <c r="C9" i="1"/>
  <c r="Q42" i="1"/>
  <c r="Q40" i="1"/>
  <c r="E26" i="1"/>
  <c r="F26" i="1"/>
  <c r="G26" i="1"/>
  <c r="K26" i="1" s="1"/>
  <c r="E27" i="1"/>
  <c r="F27" i="1"/>
  <c r="G27" i="1" s="1"/>
  <c r="L27" i="1" s="1"/>
  <c r="E28" i="1"/>
  <c r="F28" i="1"/>
  <c r="G28" i="1" s="1"/>
  <c r="L28" i="1" s="1"/>
  <c r="E29" i="1"/>
  <c r="F29" i="1" s="1"/>
  <c r="G29" i="1" s="1"/>
  <c r="K29" i="1" s="1"/>
  <c r="E32" i="1"/>
  <c r="F32" i="1"/>
  <c r="G32" i="1" s="1"/>
  <c r="L32" i="1" s="1"/>
  <c r="E24" i="1"/>
  <c r="F24" i="1"/>
  <c r="E34" i="1"/>
  <c r="F34" i="1"/>
  <c r="U34" i="1"/>
  <c r="E30" i="1"/>
  <c r="F30" i="1" s="1"/>
  <c r="G30" i="1" s="1"/>
  <c r="J30" i="1" s="1"/>
  <c r="E31" i="1"/>
  <c r="F31" i="1" s="1"/>
  <c r="G31" i="1" s="1"/>
  <c r="J31" i="1" s="1"/>
  <c r="E21" i="1"/>
  <c r="F21" i="1" s="1"/>
  <c r="G21" i="1" s="1"/>
  <c r="I21" i="1" s="1"/>
  <c r="E22" i="1"/>
  <c r="F22" i="1"/>
  <c r="G22" i="1" s="1"/>
  <c r="I22" i="1" s="1"/>
  <c r="E23" i="1"/>
  <c r="F23" i="1" s="1"/>
  <c r="G23" i="1" s="1"/>
  <c r="K23" i="1" s="1"/>
  <c r="E25" i="1"/>
  <c r="F25" i="1" s="1"/>
  <c r="G25" i="1" s="1"/>
  <c r="K25" i="1" s="1"/>
  <c r="E33" i="1"/>
  <c r="F33" i="1" s="1"/>
  <c r="G33" i="1" s="1"/>
  <c r="L33" i="1" s="1"/>
  <c r="Q36" i="1"/>
  <c r="Q35" i="1"/>
  <c r="Q34" i="1"/>
  <c r="Q33" i="1"/>
  <c r="Q31" i="1"/>
  <c r="Q29" i="1"/>
  <c r="Q32" i="1"/>
  <c r="Q24" i="1"/>
  <c r="Q23" i="1"/>
  <c r="Q30" i="1"/>
  <c r="Q26" i="1"/>
  <c r="F16" i="1"/>
  <c r="F17" i="1" s="1"/>
  <c r="C17" i="1"/>
  <c r="Q28" i="1"/>
  <c r="Q25" i="1"/>
  <c r="Q22" i="1"/>
  <c r="Q27" i="1"/>
  <c r="G35" i="1"/>
  <c r="K35" i="1" s="1"/>
  <c r="G24" i="1"/>
  <c r="K24" i="1" s="1"/>
  <c r="D16" i="1" l="1"/>
  <c r="D19" i="1" s="1"/>
  <c r="G41" i="1"/>
  <c r="P41" i="1"/>
  <c r="R41" i="1" s="1"/>
  <c r="T41" i="1" s="1"/>
  <c r="W17" i="1"/>
  <c r="P32" i="1"/>
  <c r="R32" i="1" s="1"/>
  <c r="T32" i="1" s="1"/>
  <c r="W24" i="1"/>
  <c r="W16" i="1"/>
  <c r="W8" i="1"/>
  <c r="W26" i="1"/>
  <c r="P28" i="1"/>
  <c r="R28" i="1" s="1"/>
  <c r="T28" i="1" s="1"/>
  <c r="P38" i="1"/>
  <c r="R38" i="1" s="1"/>
  <c r="T38" i="1" s="1"/>
  <c r="P30" i="1"/>
  <c r="R30" i="1" s="1"/>
  <c r="T30" i="1" s="1"/>
  <c r="P36" i="1"/>
  <c r="R36" i="1" s="1"/>
  <c r="T36" i="1" s="1"/>
  <c r="W23" i="1"/>
  <c r="W15" i="1"/>
  <c r="W7" i="1"/>
  <c r="P31" i="1"/>
  <c r="R31" i="1" s="1"/>
  <c r="T31" i="1" s="1"/>
  <c r="P37" i="1"/>
  <c r="R37" i="1" s="1"/>
  <c r="T37" i="1" s="1"/>
  <c r="W27" i="1"/>
  <c r="P21" i="1"/>
  <c r="R21" i="1" s="1"/>
  <c r="T21" i="1" s="1"/>
  <c r="P27" i="1"/>
  <c r="R27" i="1" s="1"/>
  <c r="T27" i="1" s="1"/>
  <c r="W22" i="1"/>
  <c r="W14" i="1"/>
  <c r="W6" i="1"/>
  <c r="P34" i="1"/>
  <c r="R34" i="1" s="1"/>
  <c r="T34" i="1" s="1"/>
  <c r="W10" i="1"/>
  <c r="P33" i="1"/>
  <c r="R33" i="1" s="1"/>
  <c r="T33" i="1" s="1"/>
  <c r="P26" i="1"/>
  <c r="R26" i="1" s="1"/>
  <c r="T26" i="1" s="1"/>
  <c r="P42" i="1"/>
  <c r="R42" i="1" s="1"/>
  <c r="T42" i="1" s="1"/>
  <c r="P39" i="1"/>
  <c r="R39" i="1" s="1"/>
  <c r="T39" i="1" s="1"/>
  <c r="P29" i="1"/>
  <c r="R29" i="1" s="1"/>
  <c r="T29" i="1" s="1"/>
  <c r="W21" i="1"/>
  <c r="W13" i="1"/>
  <c r="W5" i="1"/>
  <c r="P40" i="1"/>
  <c r="R40" i="1" s="1"/>
  <c r="T40" i="1" s="1"/>
  <c r="W25" i="1"/>
  <c r="D15" i="1"/>
  <c r="C19" i="1" s="1"/>
  <c r="P35" i="1"/>
  <c r="R35" i="1" s="1"/>
  <c r="T35" i="1" s="1"/>
  <c r="P22" i="1"/>
  <c r="R22" i="1" s="1"/>
  <c r="T22" i="1" s="1"/>
  <c r="P23" i="1"/>
  <c r="R23" i="1" s="1"/>
  <c r="T23" i="1" s="1"/>
  <c r="P25" i="1"/>
  <c r="R25" i="1" s="1"/>
  <c r="T25" i="1" s="1"/>
  <c r="W20" i="1"/>
  <c r="W12" i="1"/>
  <c r="W4" i="1"/>
  <c r="W28" i="1"/>
  <c r="W9" i="1"/>
  <c r="P24" i="1"/>
  <c r="R24" i="1" s="1"/>
  <c r="T24" i="1" s="1"/>
  <c r="W19" i="1"/>
  <c r="W11" i="1"/>
  <c r="C11" i="1"/>
  <c r="C12" i="1"/>
  <c r="C16" i="1" l="1"/>
  <c r="D18" i="1" s="1"/>
  <c r="O41" i="1"/>
  <c r="O39" i="1"/>
  <c r="O22" i="1"/>
  <c r="O35" i="1"/>
  <c r="O37" i="1"/>
  <c r="O32" i="1"/>
  <c r="O34" i="1"/>
  <c r="C15" i="1"/>
  <c r="F18" i="1" s="1"/>
  <c r="F19" i="1" s="1"/>
  <c r="O31" i="1"/>
  <c r="O33" i="1"/>
  <c r="O40" i="1"/>
  <c r="O21" i="1"/>
  <c r="O38" i="1"/>
  <c r="O36" i="1"/>
  <c r="O42" i="1"/>
  <c r="L41" i="1"/>
  <c r="E14" i="1"/>
  <c r="C18" i="1" l="1"/>
</calcChain>
</file>

<file path=xl/sharedStrings.xml><?xml version="1.0" encoding="utf-8"?>
<sst xmlns="http://schemas.openxmlformats.org/spreadsheetml/2006/main" count="91" uniqueCount="67">
  <si>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</si>
  <si>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</si>
  <si>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</si>
  <si>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</si>
  <si>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</si>
  <si>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</si>
  <si>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</si>
  <si>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</si>
  <si>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</si>
  <si>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</si>
  <si>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</si>
  <si>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</si>
  <si>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</si>
  <si>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</si>
  <si>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</si>
  <si>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</si>
  <si>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</si>
  <si>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</si>
  <si>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</si>
  <si>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</si>
  <si>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</si>
  <si>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</si>
  <si>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</si>
  <si>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</si>
  <si>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</si>
  <si>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</si>
  <si>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</si>
  <si>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</si>
  <si>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</si>
  <si>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</si>
  <si>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</si>
  <si>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</si>
  <si>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</si>
  <si>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</si>
  <si>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</si>
  <si>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</si>
  <si>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</si>
  <si>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DL CVn / GSC 3021-0507</t>
  </si>
  <si>
    <t>EB</t>
  </si>
  <si>
    <t>OEJV 0107</t>
  </si>
  <si>
    <t>not avail.</t>
  </si>
  <si>
    <t>IBVS 5060</t>
  </si>
  <si>
    <t>II</t>
  </si>
  <si>
    <t>I</t>
  </si>
  <si>
    <t>IBVS 5966</t>
  </si>
  <si>
    <t>OEJV 0137</t>
  </si>
  <si>
    <t>Add cycle</t>
  </si>
  <si>
    <t>Old Cycle</t>
  </si>
  <si>
    <t>IBVS 6010</t>
  </si>
  <si>
    <t>OEJV 0094</t>
  </si>
  <si>
    <t>IBVS 6018</t>
  </si>
  <si>
    <t>IBVS 6048</t>
  </si>
  <si>
    <t>IBVS 6092</t>
  </si>
  <si>
    <t>IBVS 5154</t>
  </si>
  <si>
    <t>vis</t>
  </si>
  <si>
    <t>OEJV 0179</t>
  </si>
  <si>
    <t>Nelson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</si>
  <si>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</si>
  <si>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</si>
  <si>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</si>
  <si>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</si>
  <si>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Linear Ephemeris =</t>
  </si>
  <si>
    <t>Quad. Ephemeris =</t>
  </si>
  <si>
    <t>IBVS 6262</t>
  </si>
  <si>
    <t>2020JAVSO..48….1</t>
  </si>
  <si>
    <t>OEJV 0211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</si>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</sst>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7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5" fillId="24" borderId="5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center" vertical="center"/>
    </xf>
    <xf numFmtId="0" fontId="0" fillId="0" borderId="11" xfId="0" applyBorder="1" applyAlignment="1"/>
    <xf numFmtId="0" fontId="5" fillId="24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12" xfId="0" applyBorder="1" applyAlignment="1"/>
    <xf numFmtId="0" fontId="0" fillId="0" borderId="0" xfId="0" applyBorder="1" applyAlignment="1"/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>
      <alignment vertical="top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5" fillId="0" borderId="0" xfId="0" applyFont="1" applyAlignment="1"/>
    <xf numFmtId="0" fontId="5" fillId="0" borderId="0" xfId="0" applyFont="1" applyAlignment="1"/>
    <xf numFmtId="172" fontId="15" fillId="0" borderId="0" xfId="0" applyNumberFormat="1" applyFont="1" applyBorder="1" applyAlignment="1">
      <alignment horizontal="left"/>
    </xf>
    <xf numFmtId="0" fontId="5" fillId="0" borderId="0" xfId="0" applyFont="1" applyBorder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14" xfId="0" applyBorder="1" applyAlignment="1"/>
    <xf numFmtId="0" fontId="0" fillId="0" borderId="15" xfId="0" applyBorder="1" applyAlignment="1"/>
    <xf numFmtId="11" fontId="0" fillId="0" borderId="0" xfId="0" applyNumberFormat="1" applyAlignment="1"/>
    <xf numFmtId="0" fontId="0" fillId="0" borderId="16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/>
    </xf>
    <xf numFmtId="0" fontId="14" fillId="0" borderId="0" xfId="0" applyFont="1" applyAlignment="1"/>
    <xf numFmtId="14" fontId="23" fillId="0" borderId="0" xfId="0" applyNumberFormat="1" applyFont="1" applyAlignment="1"/>
    <xf numFmtId="0" fontId="23" fillId="0" borderId="0" xfId="0" applyFont="1" applyAlignment="1"/>
    <xf numFmtId="0" fontId="36" fillId="0" borderId="0" xfId="0" applyFont="1" applyAlignment="1"/>
    <xf numFmtId="0" fontId="23" fillId="0" borderId="0" xfId="0" applyFont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5" fillId="0" borderId="0" xfId="42" applyFont="1" applyBorder="1"/>
    <xf numFmtId="0" fontId="5" fillId="0" borderId="0" xfId="42" applyFont="1" applyBorder="1" applyAlignment="1">
      <alignment horizontal="center"/>
    </xf>
    <xf numFmtId="0" fontId="5" fillId="0" borderId="0" xfId="42" applyFont="1" applyBorder="1" applyAlignment="1">
      <alignment horizontal="left"/>
    </xf>
    <xf numFmtId="0" fontId="5" fillId="0" borderId="0" xfId="41" applyFont="1" applyBorder="1" applyAlignment="1">
      <alignment wrapText="1"/>
    </xf>
    <xf numFmtId="0" fontId="5" fillId="0" borderId="0" xfId="41" applyFont="1" applyBorder="1" applyAlignment="1">
      <alignment horizontal="center" wrapText="1"/>
    </xf>
    <xf numFmtId="0" fontId="5" fillId="0" borderId="0" xfId="41" applyFont="1" applyBorder="1" applyAlignment="1">
      <alignment horizontal="left" wrapText="1"/>
    </xf>
    <xf numFmtId="0" fontId="5" fillId="0" borderId="0" xfId="41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7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CVn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A-453B-A901-B46467FAED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1.8199999976786785E-3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2A-453B-A901-B46467FAEDB0}"/>
            </c:ext>
          </c:extLst>
        </c:ser>
        <c:ser>
          <c:idx val="3"/>
          <c:order val="2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6.6400000068824738E-3</c:v>
                </c:pt>
                <c:pt idx="10">
                  <c:v>1.1279999998805579E-2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2A-453B-A901-B46467FAED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3.8400000048568472E-3</c:v>
                </c:pt>
                <c:pt idx="3">
                  <c:v>7.7900000032968819E-3</c:v>
                </c:pt>
                <c:pt idx="4">
                  <c:v>6.4000000056694262E-3</c:v>
                </c:pt>
                <c:pt idx="5">
                  <c:v>5.2000000068801455E-3</c:v>
                </c:pt>
                <c:pt idx="8">
                  <c:v>8.4199999982956797E-3</c:v>
                </c:pt>
                <c:pt idx="14">
                  <c:v>1.6220000004977919E-2</c:v>
                </c:pt>
                <c:pt idx="15">
                  <c:v>1.6199999998207204E-2</c:v>
                </c:pt>
                <c:pt idx="16">
                  <c:v>1.6670000106387306E-2</c:v>
                </c:pt>
                <c:pt idx="17">
                  <c:v>1.8740000006800983E-2</c:v>
                </c:pt>
                <c:pt idx="18">
                  <c:v>2.157000017905375E-2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2A-453B-A901-B46467FAED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6">
                  <c:v>1.1040000004868489E-2</c:v>
                </c:pt>
                <c:pt idx="7">
                  <c:v>8.4199999982956797E-3</c:v>
                </c:pt>
                <c:pt idx="11">
                  <c:v>1.0243331213132478E-2</c:v>
                </c:pt>
                <c:pt idx="12">
                  <c:v>1.1520000007294584E-2</c:v>
                </c:pt>
                <c:pt idx="19">
                  <c:v>1.9660000005387701E-2</c:v>
                </c:pt>
                <c:pt idx="20">
                  <c:v>1.9660000005387701E-2</c:v>
                </c:pt>
                <c:pt idx="21">
                  <c:v>2.216000000044005E-2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2A-453B-A901-B46467FAED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2A-453B-A901-B46467FAED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2A-453B-A901-B46467FAED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-2.0438148877329056E-2</c:v>
                </c:pt>
                <c:pt idx="1">
                  <c:v>-2.0285061455670508E-2</c:v>
                </c:pt>
                <c:pt idx="10">
                  <c:v>7.4143120236836862E-3</c:v>
                </c:pt>
                <c:pt idx="11">
                  <c:v>9.0699241393983644E-3</c:v>
                </c:pt>
                <c:pt idx="12">
                  <c:v>1.3940372109942561E-2</c:v>
                </c:pt>
                <c:pt idx="13">
                  <c:v>1.5968307954876172E-2</c:v>
                </c:pt>
                <c:pt idx="14">
                  <c:v>1.6104385663017105E-2</c:v>
                </c:pt>
                <c:pt idx="15">
                  <c:v>1.6162974676244453E-2</c:v>
                </c:pt>
                <c:pt idx="16">
                  <c:v>1.7699518797335813E-2</c:v>
                </c:pt>
                <c:pt idx="17">
                  <c:v>1.8181460680334945E-2</c:v>
                </c:pt>
                <c:pt idx="18">
                  <c:v>1.9770923910147779E-2</c:v>
                </c:pt>
                <c:pt idx="19">
                  <c:v>2.0230186175123427E-2</c:v>
                </c:pt>
                <c:pt idx="20">
                  <c:v>2.0230186175123427E-2</c:v>
                </c:pt>
                <c:pt idx="21">
                  <c:v>2.2384749887354852E-2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2A-453B-A901-B46467FAED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3">
                  <c:v>2.1600000007310882E-2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2A-453B-A901-B46467FAEDB0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-1500</c:v>
                </c:pt>
                <c:pt idx="1">
                  <c:v>-1000</c:v>
                </c:pt>
                <c:pt idx="2">
                  <c:v>-500</c:v>
                </c:pt>
                <c:pt idx="3">
                  <c:v>0</c:v>
                </c:pt>
                <c:pt idx="4">
                  <c:v>500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  <c:pt idx="8">
                  <c:v>2500</c:v>
                </c:pt>
                <c:pt idx="9">
                  <c:v>3000</c:v>
                </c:pt>
                <c:pt idx="10">
                  <c:v>3500</c:v>
                </c:pt>
                <c:pt idx="11">
                  <c:v>4000</c:v>
                </c:pt>
                <c:pt idx="12">
                  <c:v>4500</c:v>
                </c:pt>
                <c:pt idx="13">
                  <c:v>5000</c:v>
                </c:pt>
                <c:pt idx="14">
                  <c:v>5500</c:v>
                </c:pt>
                <c:pt idx="15">
                  <c:v>6000</c:v>
                </c:pt>
                <c:pt idx="16">
                  <c:v>6500</c:v>
                </c:pt>
                <c:pt idx="17">
                  <c:v>7000</c:v>
                </c:pt>
                <c:pt idx="18">
                  <c:v>7500</c:v>
                </c:pt>
                <c:pt idx="19">
                  <c:v>8000</c:v>
                </c:pt>
                <c:pt idx="20">
                  <c:v>8500</c:v>
                </c:pt>
                <c:pt idx="21">
                  <c:v>9000</c:v>
                </c:pt>
                <c:pt idx="22">
                  <c:v>9500</c:v>
                </c:pt>
                <c:pt idx="23">
                  <c:v>10000</c:v>
                </c:pt>
                <c:pt idx="24">
                  <c:v>10500</c:v>
                </c:pt>
                <c:pt idx="25">
                  <c:v>11000</c:v>
                </c:pt>
                <c:pt idx="26">
                  <c:v>11500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2.0029267797577383E-3</c:v>
                </c:pt>
                <c:pt idx="1">
                  <c:v>1.7220045226021608E-3</c:v>
                </c:pt>
                <c:pt idx="2">
                  <c:v>1.5261992654971863E-3</c:v>
                </c:pt>
                <c:pt idx="3">
                  <c:v>1.415511008442815E-3</c:v>
                </c:pt>
                <c:pt idx="4">
                  <c:v>1.3899397514390468E-3</c:v>
                </c:pt>
                <c:pt idx="5">
                  <c:v>1.4494854944858819E-3</c:v>
                </c:pt>
                <c:pt idx="6">
                  <c:v>1.5941482375833199E-3</c:v>
                </c:pt>
                <c:pt idx="7">
                  <c:v>1.8239279807313613E-3</c:v>
                </c:pt>
                <c:pt idx="8">
                  <c:v>2.1388247239300055E-3</c:v>
                </c:pt>
                <c:pt idx="9">
                  <c:v>2.5388384671792535E-3</c:v>
                </c:pt>
                <c:pt idx="10">
                  <c:v>3.0239692104791042E-3</c:v>
                </c:pt>
                <c:pt idx="11">
                  <c:v>3.5942169538295582E-3</c:v>
                </c:pt>
                <c:pt idx="12">
                  <c:v>4.2495816972306158E-3</c:v>
                </c:pt>
                <c:pt idx="13">
                  <c:v>4.9900634406822757E-3</c:v>
                </c:pt>
                <c:pt idx="14">
                  <c:v>5.8156621841845392E-3</c:v>
                </c:pt>
                <c:pt idx="15">
                  <c:v>6.7263779277374064E-3</c:v>
                </c:pt>
                <c:pt idx="16">
                  <c:v>7.7222106713408754E-3</c:v>
                </c:pt>
                <c:pt idx="17">
                  <c:v>8.803160414994949E-3</c:v>
                </c:pt>
                <c:pt idx="18">
                  <c:v>9.9692271586996253E-3</c:v>
                </c:pt>
                <c:pt idx="19">
                  <c:v>1.1220410902454904E-2</c:v>
                </c:pt>
                <c:pt idx="20">
                  <c:v>1.2556711646260786E-2</c:v>
                </c:pt>
                <c:pt idx="21">
                  <c:v>1.3978129390117272E-2</c:v>
                </c:pt>
                <c:pt idx="22">
                  <c:v>1.5484664134024361E-2</c:v>
                </c:pt>
                <c:pt idx="23">
                  <c:v>1.707631587798205E-2</c:v>
                </c:pt>
                <c:pt idx="24">
                  <c:v>1.8753084621990348E-2</c:v>
                </c:pt>
                <c:pt idx="25">
                  <c:v>2.0514970366049247E-2</c:v>
                </c:pt>
                <c:pt idx="26">
                  <c:v>2.2361973110158747E-2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32A-453B-A901-B46467FA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8376"/>
        <c:axId val="1"/>
      </c:scatterChart>
      <c:valAx>
        <c:axId val="793388376"/>
        <c:scaling>
          <c:orientation val="minMax"/>
          <c:max val="12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8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421052631579"/>
          <c:y val="0.92441860465116277"/>
          <c:w val="0.8571428571428571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B460AF-0CA5-6BEF-8366-7E0259DE7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8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37</v>
      </c>
      <c r="V1" s="4" t="s">
        <v>14</v>
      </c>
      <c r="W1" s="6" t="s">
        <v>25</v>
      </c>
    </row>
    <row r="2" spans="1:23" x14ac:dyDescent="0.2">
      <c r="A2" t="s">
        <v>27</v>
      </c>
      <c r="B2" t="s">
        <v>38</v>
      </c>
      <c r="C2" s="3"/>
      <c r="D2" s="3"/>
      <c r="V2" s="67">
        <v>-1500</v>
      </c>
      <c r="W2" s="67">
        <f t="shared" ref="W2:W28" si="0">+D$11+D$12*V2+D$13*V2^2</f>
        <v>2.0029267797577383E-3</v>
      </c>
    </row>
    <row r="3" spans="1:23" ht="13.5" thickBot="1" x14ac:dyDescent="0.25">
      <c r="V3" s="67">
        <v>-1000</v>
      </c>
      <c r="W3" s="67">
        <f t="shared" si="0"/>
        <v>1.7220045226021608E-3</v>
      </c>
    </row>
    <row r="4" spans="1:23" ht="14.25" thickTop="1" thickBot="1" x14ac:dyDescent="0.25">
      <c r="A4" s="5" t="s">
        <v>5</v>
      </c>
      <c r="C4" s="8" t="s">
        <v>40</v>
      </c>
      <c r="D4" s="9" t="s">
        <v>40</v>
      </c>
      <c r="V4" s="67">
        <v>-500</v>
      </c>
      <c r="W4" s="67">
        <f t="shared" si="0"/>
        <v>1.5261992654971863E-3</v>
      </c>
    </row>
    <row r="5" spans="1:23" ht="13.5" thickTop="1" x14ac:dyDescent="0.2">
      <c r="A5" s="11" t="s">
        <v>31</v>
      </c>
      <c r="B5" s="12"/>
      <c r="C5" s="13">
        <v>-9.5</v>
      </c>
      <c r="D5" s="12" t="s">
        <v>32</v>
      </c>
      <c r="V5" s="67">
        <v>0</v>
      </c>
      <c r="W5" s="67">
        <f t="shared" si="0"/>
        <v>1.415511008442815E-3</v>
      </c>
    </row>
    <row r="6" spans="1:23" x14ac:dyDescent="0.2">
      <c r="A6" s="5" t="s">
        <v>6</v>
      </c>
      <c r="V6" s="67">
        <v>500</v>
      </c>
      <c r="W6" s="67">
        <f t="shared" si="0"/>
        <v>1.3899397514390468E-3</v>
      </c>
    </row>
    <row r="7" spans="1:23" x14ac:dyDescent="0.2">
      <c r="A7" t="s">
        <v>7</v>
      </c>
      <c r="C7">
        <v>51304.735999999997</v>
      </c>
      <c r="D7" s="26" t="s">
        <v>39</v>
      </c>
      <c r="V7" s="67">
        <v>1000</v>
      </c>
      <c r="W7" s="67">
        <f t="shared" si="0"/>
        <v>1.4494854944858819E-3</v>
      </c>
    </row>
    <row r="8" spans="1:23" x14ac:dyDescent="0.2">
      <c r="A8" t="s">
        <v>8</v>
      </c>
      <c r="C8">
        <v>0.64244000000000001</v>
      </c>
      <c r="D8" s="26" t="s">
        <v>39</v>
      </c>
      <c r="V8" s="67">
        <v>1500</v>
      </c>
      <c r="W8" s="67">
        <f t="shared" si="0"/>
        <v>1.5941482375833199E-3</v>
      </c>
    </row>
    <row r="9" spans="1:23" x14ac:dyDescent="0.2">
      <c r="A9" s="24" t="s">
        <v>36</v>
      </c>
      <c r="B9" s="25">
        <v>36</v>
      </c>
      <c r="C9" s="22" t="str">
        <f>"F"&amp;B9</f>
        <v>F36</v>
      </c>
      <c r="D9" s="23" t="str">
        <f>"G"&amp;B9</f>
        <v>G36</v>
      </c>
      <c r="V9" s="67">
        <v>2000</v>
      </c>
      <c r="W9" s="67">
        <f t="shared" si="0"/>
        <v>1.8239279807313613E-3</v>
      </c>
    </row>
    <row r="10" spans="1:23" ht="13.5" thickBot="1" x14ac:dyDescent="0.25">
      <c r="A10" s="12"/>
      <c r="B10" s="12"/>
      <c r="C10" s="4" t="s">
        <v>23</v>
      </c>
      <c r="D10" s="4" t="s">
        <v>24</v>
      </c>
      <c r="E10" s="12"/>
      <c r="V10" s="67">
        <v>2500</v>
      </c>
      <c r="W10" s="67">
        <f t="shared" si="0"/>
        <v>2.1388247239300055E-3</v>
      </c>
    </row>
    <row r="11" spans="1:23" x14ac:dyDescent="0.2">
      <c r="A11" s="12" t="s">
        <v>19</v>
      </c>
      <c r="B11" s="12"/>
      <c r="C11" s="21">
        <f ca="1">INTERCEPT(INDIRECT($D$9):G992,INDIRECT($C$9):F992)</f>
        <v>-2.0285061455670508E-2</v>
      </c>
      <c r="D11" s="3">
        <f>+E11*F11</f>
        <v>1.415511008442815E-3</v>
      </c>
      <c r="E11" s="58">
        <v>1.415511008442815E-3</v>
      </c>
      <c r="F11">
        <v>1</v>
      </c>
      <c r="V11" s="67">
        <v>3000</v>
      </c>
      <c r="W11" s="67">
        <f t="shared" si="0"/>
        <v>2.5388384671792535E-3</v>
      </c>
    </row>
    <row r="12" spans="1:23" x14ac:dyDescent="0.2">
      <c r="A12" s="12" t="s">
        <v>20</v>
      </c>
      <c r="B12" s="12"/>
      <c r="C12" s="21">
        <f ca="1">SLOPE(INDIRECT($D$9):G992,INDIRECT($C$9):F992)</f>
        <v>3.7799363372481163E-6</v>
      </c>
      <c r="D12" s="3">
        <f>+E12*F12</f>
        <v>-1.3625951405813946E-7</v>
      </c>
      <c r="E12" s="59">
        <v>-1.3625951405813945E-3</v>
      </c>
      <c r="F12" s="60">
        <v>1E-4</v>
      </c>
      <c r="V12" s="67">
        <v>3500</v>
      </c>
      <c r="W12" s="67">
        <f t="shared" si="0"/>
        <v>3.0239692104791042E-3</v>
      </c>
    </row>
    <row r="13" spans="1:23" ht="13.5" thickBot="1" x14ac:dyDescent="0.25">
      <c r="A13" s="12" t="s">
        <v>22</v>
      </c>
      <c r="B13" s="12"/>
      <c r="C13" s="3" t="s">
        <v>17</v>
      </c>
      <c r="D13" s="3">
        <f>+E13*F13</f>
        <v>1.7023400010120632E-10</v>
      </c>
      <c r="E13" s="61">
        <v>1.7023400010120631E-2</v>
      </c>
      <c r="F13" s="60">
        <v>1E-8</v>
      </c>
      <c r="V13" s="67">
        <v>4000</v>
      </c>
      <c r="W13" s="67">
        <f t="shared" si="0"/>
        <v>3.5942169538295582E-3</v>
      </c>
    </row>
    <row r="14" spans="1:23" x14ac:dyDescent="0.2">
      <c r="A14" s="12"/>
      <c r="B14" s="12"/>
      <c r="C14" s="12"/>
      <c r="E14">
        <f>SUM(T21:T950)</f>
        <v>5.7844010557118666E-5</v>
      </c>
      <c r="V14" s="67">
        <v>4500</v>
      </c>
      <c r="W14" s="67">
        <f t="shared" si="0"/>
        <v>4.2495816972306158E-3</v>
      </c>
    </row>
    <row r="15" spans="1:23" x14ac:dyDescent="0.2">
      <c r="A15" s="14" t="s">
        <v>21</v>
      </c>
      <c r="B15" s="12"/>
      <c r="C15" s="15">
        <f ca="1">(C7+C11)+(C8+C12)*INT(MAX(F21:F3533))</f>
        <v>58556.621102859914</v>
      </c>
      <c r="D15" s="23">
        <f>+C7+INT(MAX(F21:F1588))*C8+D11+D12*INT(MAX(F21:F4023))+D13*INT(MAX(F21:F4050)^2)</f>
        <v>58556.620290371742</v>
      </c>
      <c r="E15" s="16" t="s">
        <v>46</v>
      </c>
      <c r="F15" s="13">
        <v>1</v>
      </c>
      <c r="V15" s="67">
        <v>5000</v>
      </c>
      <c r="W15" s="67">
        <f t="shared" si="0"/>
        <v>4.9900634406822757E-3</v>
      </c>
    </row>
    <row r="16" spans="1:23" x14ac:dyDescent="0.2">
      <c r="A16" s="18" t="s">
        <v>9</v>
      </c>
      <c r="B16" s="12"/>
      <c r="C16" s="19">
        <f ca="1">+C8+C12</f>
        <v>0.64244377993633728</v>
      </c>
      <c r="D16" s="23">
        <f>+C8+D12+2*D13*MAX(F21:F896)</f>
        <v>0.64244370711350629</v>
      </c>
      <c r="E16" s="16" t="s">
        <v>33</v>
      </c>
      <c r="F16" s="17">
        <f ca="1">NOW()+15018.5+$C$5/24</f>
        <v>59956.686120254628</v>
      </c>
      <c r="V16" s="67">
        <v>5500</v>
      </c>
      <c r="W16" s="67">
        <f t="shared" si="0"/>
        <v>5.8156621841845392E-3</v>
      </c>
    </row>
    <row r="17" spans="1:23" ht="13.5" thickBot="1" x14ac:dyDescent="0.25">
      <c r="A17" s="16" t="s">
        <v>30</v>
      </c>
      <c r="B17" s="12"/>
      <c r="C17" s="12">
        <f>COUNT(C21:C2191)</f>
        <v>22</v>
      </c>
      <c r="E17" s="16" t="s">
        <v>47</v>
      </c>
      <c r="F17" s="17">
        <f ca="1">ROUND(2*(F16-$C$7)/$C$8,0)/2+F15</f>
        <v>13468.5</v>
      </c>
      <c r="V17" s="67">
        <v>6000</v>
      </c>
      <c r="W17" s="67">
        <f t="shared" si="0"/>
        <v>6.7263779277374064E-3</v>
      </c>
    </row>
    <row r="18" spans="1:23" ht="14.25" thickTop="1" thickBot="1" x14ac:dyDescent="0.25">
      <c r="A18" s="5" t="s">
        <v>61</v>
      </c>
      <c r="C18" s="70">
        <f ca="1">+C15</f>
        <v>58556.621102859914</v>
      </c>
      <c r="D18" s="71">
        <f ca="1">C16</f>
        <v>0.64244377993633728</v>
      </c>
      <c r="E18" s="16" t="s">
        <v>34</v>
      </c>
      <c r="F18" s="23">
        <f ca="1">ROUND(2*(F16-$C$15)/$C$16,0)/2+F15</f>
        <v>2180.5</v>
      </c>
      <c r="V18" s="67">
        <v>6500</v>
      </c>
      <c r="W18" s="67">
        <f t="shared" si="0"/>
        <v>7.7222106713408754E-3</v>
      </c>
    </row>
    <row r="19" spans="1:23" ht="13.5" thickBot="1" x14ac:dyDescent="0.25">
      <c r="A19" s="5" t="s">
        <v>62</v>
      </c>
      <c r="C19" s="72">
        <f>+D15</f>
        <v>58556.620290371742</v>
      </c>
      <c r="D19" s="73">
        <f>+D16</f>
        <v>0.64244370711350629</v>
      </c>
      <c r="E19" s="16" t="s">
        <v>35</v>
      </c>
      <c r="F19" s="20">
        <f ca="1">+$C$15+$C$16*F18-15018.5-$C$5/24</f>
        <v>44939.365598344433</v>
      </c>
      <c r="V19" s="67">
        <v>7000</v>
      </c>
      <c r="W19" s="67">
        <f t="shared" si="0"/>
        <v>8.803160414994949E-3</v>
      </c>
    </row>
    <row r="20" spans="1:23" ht="1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</v>
      </c>
      <c r="I20" s="7" t="s">
        <v>54</v>
      </c>
      <c r="J20" s="6" t="s">
        <v>1</v>
      </c>
      <c r="K20" s="7" t="s">
        <v>3</v>
      </c>
      <c r="L20" s="7" t="s">
        <v>56</v>
      </c>
      <c r="M20" s="7" t="s">
        <v>28</v>
      </c>
      <c r="N20" s="7" t="s">
        <v>29</v>
      </c>
      <c r="O20" s="7" t="s">
        <v>26</v>
      </c>
      <c r="P20" s="62" t="s">
        <v>25</v>
      </c>
      <c r="Q20" s="4" t="s">
        <v>18</v>
      </c>
      <c r="R20" s="63" t="s">
        <v>57</v>
      </c>
      <c r="S20" s="6" t="s">
        <v>58</v>
      </c>
      <c r="T20" s="63" t="s">
        <v>59</v>
      </c>
      <c r="U20" s="64" t="s">
        <v>60</v>
      </c>
      <c r="V20" s="67">
        <v>7500</v>
      </c>
      <c r="W20" s="67">
        <f t="shared" si="0"/>
        <v>9.9692271586996253E-3</v>
      </c>
    </row>
    <row r="21" spans="1:23" x14ac:dyDescent="0.2">
      <c r="A21" s="28" t="s">
        <v>41</v>
      </c>
      <c r="B21" s="29" t="s">
        <v>42</v>
      </c>
      <c r="C21" s="28">
        <v>51278.718999999997</v>
      </c>
      <c r="D21" s="28">
        <v>3.0000000000000001E-3</v>
      </c>
      <c r="E21" s="30">
        <f>+(C21-C$7)/C$8</f>
        <v>-40.49716705061924</v>
      </c>
      <c r="F21">
        <f>ROUND(2*E21,0)/2</f>
        <v>-40.5</v>
      </c>
      <c r="G21">
        <f>+C21-(C$7+F21*C$8)</f>
        <v>1.8199999976786785E-3</v>
      </c>
      <c r="I21">
        <f>+G21</f>
        <v>1.8199999976786785E-3</v>
      </c>
      <c r="O21">
        <f ca="1">+C$11+C$12*$F21</f>
        <v>-2.0438148877329056E-2</v>
      </c>
      <c r="P21" s="65">
        <f>+D$11+D$12*F21+D$13*F21^2</f>
        <v>1.4213087450808356E-3</v>
      </c>
      <c r="Q21" s="66">
        <f>+C21-15018.5</f>
        <v>36260.218999999997</v>
      </c>
      <c r="R21" s="67">
        <f>+(P21-G21)^2</f>
        <v>1.5895471489803696E-7</v>
      </c>
      <c r="S21" s="69">
        <v>0.1</v>
      </c>
      <c r="T21" s="67">
        <f>+S21*R21</f>
        <v>1.5895471489803696E-8</v>
      </c>
      <c r="U21" s="68"/>
      <c r="V21" s="67">
        <v>8000</v>
      </c>
      <c r="W21" s="67">
        <f t="shared" si="0"/>
        <v>1.1220410902454904E-2</v>
      </c>
    </row>
    <row r="22" spans="1:23" x14ac:dyDescent="0.2">
      <c r="A22" s="27" t="s">
        <v>41</v>
      </c>
      <c r="B22" s="31" t="s">
        <v>43</v>
      </c>
      <c r="C22" s="27">
        <v>51304.735999999997</v>
      </c>
      <c r="D22" s="27">
        <v>2E-3</v>
      </c>
      <c r="E22" s="3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-2.0285061455670508E-2</v>
      </c>
      <c r="P22" s="65">
        <f>+D$11+D$12*F22+D$13*F22^2</f>
        <v>1.415511008442815E-3</v>
      </c>
      <c r="Q22" s="2">
        <f>+C22-15018.5</f>
        <v>36286.235999999997</v>
      </c>
      <c r="R22" s="67">
        <f>+(P22-G22)^2</f>
        <v>2.0036714150227951E-6</v>
      </c>
      <c r="S22" s="3">
        <v>0.1</v>
      </c>
      <c r="T22" s="67">
        <f>+S22*R22</f>
        <v>2.0036714150227952E-7</v>
      </c>
      <c r="V22" s="67">
        <v>8500</v>
      </c>
      <c r="W22" s="67">
        <f t="shared" si="0"/>
        <v>1.2556711646260786E-2</v>
      </c>
    </row>
    <row r="23" spans="1:23" x14ac:dyDescent="0.2">
      <c r="A23" s="35" t="s">
        <v>49</v>
      </c>
      <c r="B23" s="36" t="s">
        <v>42</v>
      </c>
      <c r="C23" s="37">
        <v>54601.420700000002</v>
      </c>
      <c r="D23" s="37">
        <v>1E-4</v>
      </c>
      <c r="E23" s="33">
        <f>+(C23-C$7)/C$8</f>
        <v>5131.5059772118875</v>
      </c>
      <c r="F23">
        <f>ROUND(2*E23,0)/2</f>
        <v>5131.5</v>
      </c>
      <c r="G23">
        <f>+C23-(C$7+F23*C$8)</f>
        <v>3.8400000048568472E-3</v>
      </c>
      <c r="K23">
        <f>+G23</f>
        <v>3.8400000048568472E-3</v>
      </c>
      <c r="P23" s="65">
        <f>+D$11+D$12*F23+D$13*F23^2</f>
        <v>5.1989467536049669E-3</v>
      </c>
      <c r="Q23" s="2">
        <f>+C23-15018.5</f>
        <v>39582.920700000002</v>
      </c>
      <c r="R23" s="67">
        <f>+(P23-G23)^2</f>
        <v>1.8467362659330851E-6</v>
      </c>
      <c r="S23" s="3">
        <v>1</v>
      </c>
      <c r="T23" s="67">
        <f>+S23*R23</f>
        <v>1.8467362659330851E-6</v>
      </c>
      <c r="V23" s="67">
        <v>9000</v>
      </c>
      <c r="W23" s="67">
        <f t="shared" si="0"/>
        <v>1.3978129390117272E-2</v>
      </c>
    </row>
    <row r="24" spans="1:23" x14ac:dyDescent="0.2">
      <c r="A24" s="38" t="s">
        <v>39</v>
      </c>
      <c r="B24" s="39" t="s">
        <v>42</v>
      </c>
      <c r="C24" s="40">
        <v>54921.359770000003</v>
      </c>
      <c r="D24" s="40">
        <v>2.0000000000000001E-4</v>
      </c>
      <c r="E24" s="34">
        <f>+(C24-C$7)/C$8</f>
        <v>5629.5121256459834</v>
      </c>
      <c r="F24" s="34">
        <f>ROUND(2*E24,0)/2</f>
        <v>5629.5</v>
      </c>
      <c r="G24">
        <f>+C24-(C$7+F24*C$8)</f>
        <v>7.7900000032968819E-3</v>
      </c>
      <c r="K24">
        <f>+G24</f>
        <v>7.7900000032968819E-3</v>
      </c>
      <c r="P24" s="65">
        <f>+D$11+D$12*F24+D$13*F24^2</f>
        <v>6.0433697769983761E-3</v>
      </c>
      <c r="Q24" s="2">
        <f>+C24-15018.5</f>
        <v>39902.859770000003</v>
      </c>
      <c r="R24" s="67">
        <f>+(P24-G24)^2</f>
        <v>3.0507171474195696E-6</v>
      </c>
      <c r="S24" s="3">
        <v>1</v>
      </c>
      <c r="T24" s="67">
        <f>+S24*R24</f>
        <v>3.0507171474195696E-6</v>
      </c>
      <c r="V24" s="67">
        <v>9500</v>
      </c>
      <c r="W24" s="67">
        <f t="shared" si="0"/>
        <v>1.5484664134024361E-2</v>
      </c>
    </row>
    <row r="25" spans="1:23" x14ac:dyDescent="0.2">
      <c r="A25" s="41" t="s">
        <v>45</v>
      </c>
      <c r="B25" s="42" t="s">
        <v>43</v>
      </c>
      <c r="C25" s="43">
        <v>55292.367480000001</v>
      </c>
      <c r="D25" s="43">
        <v>5.0000000000000001E-4</v>
      </c>
      <c r="E25" s="47">
        <f>+(C25-C$7)/C$8</f>
        <v>6207.0099620198052</v>
      </c>
      <c r="F25" s="34">
        <f>ROUND(2*E25,0)/2</f>
        <v>6207</v>
      </c>
      <c r="G25">
        <f>+C25-(C$7+F25*C$8)</f>
        <v>6.4000000056694262E-3</v>
      </c>
      <c r="K25">
        <f>+G25</f>
        <v>6.4000000056694262E-3</v>
      </c>
      <c r="P25" s="65">
        <f>+D$11+D$12*F25+D$13*F25^2</f>
        <v>7.1283278212491046E-3</v>
      </c>
      <c r="Q25" s="2">
        <f>+C25-15018.5</f>
        <v>40273.867480000001</v>
      </c>
      <c r="R25" s="67">
        <f>+(P25-G25)^2</f>
        <v>5.3046140694706607E-7</v>
      </c>
      <c r="S25" s="3">
        <v>1</v>
      </c>
      <c r="T25" s="67">
        <f>+S25*R25</f>
        <v>5.3046140694706607E-7</v>
      </c>
      <c r="V25" s="67">
        <v>10000</v>
      </c>
      <c r="W25" s="67">
        <f t="shared" si="0"/>
        <v>1.707631587798205E-2</v>
      </c>
    </row>
    <row r="26" spans="1:23" x14ac:dyDescent="0.2">
      <c r="A26" s="38" t="s">
        <v>44</v>
      </c>
      <c r="B26" s="39" t="s">
        <v>43</v>
      </c>
      <c r="C26" s="40">
        <v>55308.748500000002</v>
      </c>
      <c r="D26" s="40">
        <v>5.0000000000000001E-4</v>
      </c>
      <c r="E26" s="47">
        <f>+(C26-C$7)/C$8</f>
        <v>6232.5080941410934</v>
      </c>
      <c r="F26" s="34">
        <f>ROUND(2*E26,0)/2</f>
        <v>6232.5</v>
      </c>
      <c r="G26">
        <f>+C26-(C$7+F26*C$8)</f>
        <v>5.2000000068801455E-3</v>
      </c>
      <c r="K26">
        <f>+G26</f>
        <v>5.2000000068801455E-3</v>
      </c>
      <c r="P26" s="65">
        <f>+D$11+D$12*F26+D$13*F26^2</f>
        <v>7.1788526626692254E-3</v>
      </c>
      <c r="Q26" s="2">
        <f>+C26-15018.5</f>
        <v>40290.248500000002</v>
      </c>
      <c r="R26" s="67">
        <f>+(P26-G26)^2</f>
        <v>3.9158578333234945E-6</v>
      </c>
      <c r="S26" s="3">
        <v>1</v>
      </c>
      <c r="T26" s="67">
        <f>+S26*R26</f>
        <v>3.9158578333234945E-6</v>
      </c>
      <c r="V26" s="67">
        <v>10500</v>
      </c>
      <c r="W26" s="67">
        <f t="shared" si="0"/>
        <v>1.8753084621990348E-2</v>
      </c>
    </row>
    <row r="27" spans="1:23" x14ac:dyDescent="0.2">
      <c r="A27" s="44" t="s">
        <v>44</v>
      </c>
      <c r="B27" s="45"/>
      <c r="C27" s="43">
        <v>55325.779000000002</v>
      </c>
      <c r="D27" s="43">
        <v>2E-3</v>
      </c>
      <c r="E27" s="47">
        <f>+(C27-C$7)/C$8</f>
        <v>6259.0171844841616</v>
      </c>
      <c r="F27" s="34">
        <f>ROUND(2*E27,0)/2</f>
        <v>6259</v>
      </c>
      <c r="G27">
        <f>+C27-(C$7+F27*C$8)</f>
        <v>1.1040000004868489E-2</v>
      </c>
      <c r="L27">
        <f>+G27</f>
        <v>1.1040000004868489E-2</v>
      </c>
      <c r="P27" s="65">
        <f>+D$11+D$12*F27+D$13*F27^2</f>
        <v>7.231593452871686E-3</v>
      </c>
      <c r="Q27" s="2">
        <f>+C27-15018.5</f>
        <v>40307.279000000002</v>
      </c>
      <c r="R27" s="67">
        <f>+(P27-G27)^2</f>
        <v>1.4503960465292175E-5</v>
      </c>
      <c r="S27" s="3">
        <v>1</v>
      </c>
      <c r="T27" s="67">
        <f>+S27*R27</f>
        <v>1.4503960465292175E-5</v>
      </c>
      <c r="V27" s="67">
        <v>11000</v>
      </c>
      <c r="W27" s="67">
        <f t="shared" si="0"/>
        <v>2.0514970366049247E-2</v>
      </c>
    </row>
    <row r="28" spans="1:23" x14ac:dyDescent="0.2">
      <c r="A28" s="54" t="s">
        <v>50</v>
      </c>
      <c r="B28" s="47"/>
      <c r="C28" s="46">
        <v>55653.741999999998</v>
      </c>
      <c r="D28" s="43">
        <v>2.9999999999999997E-4</v>
      </c>
      <c r="E28" s="47">
        <f>+(C28-C$7)/C$8</f>
        <v>6769.5131062823002</v>
      </c>
      <c r="F28" s="34">
        <f>ROUND(2*E28,0)/2</f>
        <v>6769.5</v>
      </c>
      <c r="G28">
        <f>+C28-(C$7+F28*C$8)</f>
        <v>8.4199999982956797E-3</v>
      </c>
      <c r="L28">
        <f>+G28</f>
        <v>8.4199999982956797E-3</v>
      </c>
      <c r="P28" s="65">
        <f>+D$11+D$12*F28+D$13*F28^2</f>
        <v>8.2942676896426339E-3</v>
      </c>
      <c r="Q28" s="2">
        <f>+C28-15018.5</f>
        <v>40635.241999999998</v>
      </c>
      <c r="R28" s="67">
        <f>+(P28-G28)^2</f>
        <v>1.5808613439224764E-8</v>
      </c>
      <c r="S28" s="3">
        <v>1</v>
      </c>
      <c r="T28" s="67">
        <f>+S28*R28</f>
        <v>1.5808613439224764E-8</v>
      </c>
      <c r="V28" s="67">
        <v>11500</v>
      </c>
      <c r="W28" s="67">
        <f t="shared" si="0"/>
        <v>2.2361973110158747E-2</v>
      </c>
    </row>
    <row r="29" spans="1:23" x14ac:dyDescent="0.2">
      <c r="A29" s="43" t="s">
        <v>50</v>
      </c>
      <c r="B29" s="53" t="s">
        <v>42</v>
      </c>
      <c r="C29" s="43">
        <v>55653.741999999998</v>
      </c>
      <c r="D29" s="43">
        <v>2.9999999999999997E-4</v>
      </c>
      <c r="E29" s="47">
        <f>+(C29-C$7)/C$8</f>
        <v>6769.5131062823002</v>
      </c>
      <c r="F29" s="34">
        <f>ROUND(2*E29,0)/2</f>
        <v>6769.5</v>
      </c>
      <c r="G29">
        <f>+C29-(C$7+F29*C$8)</f>
        <v>8.4199999982956797E-3</v>
      </c>
      <c r="K29">
        <f>+G29</f>
        <v>8.4199999982956797E-3</v>
      </c>
      <c r="P29" s="65">
        <f>+D$11+D$12*F29+D$13*F29^2</f>
        <v>8.2942676896426339E-3</v>
      </c>
      <c r="Q29" s="2">
        <f>+C29-15018.5</f>
        <v>40635.241999999998</v>
      </c>
      <c r="R29" s="67">
        <f>+(P29-G29)^2</f>
        <v>1.5808613439224764E-8</v>
      </c>
      <c r="S29" s="3">
        <v>1</v>
      </c>
      <c r="T29" s="67">
        <f>+S29*R29</f>
        <v>1.5808613439224764E-8</v>
      </c>
    </row>
    <row r="30" spans="1:23" x14ac:dyDescent="0.2">
      <c r="A30" s="40" t="s">
        <v>48</v>
      </c>
      <c r="B30" s="55" t="s">
        <v>43</v>
      </c>
      <c r="C30" s="40">
        <v>55669.48</v>
      </c>
      <c r="D30" s="40">
        <v>6.3E-3</v>
      </c>
      <c r="E30" s="47">
        <f>+(C30-C$7)/C$8</f>
        <v>6794.0103355955516</v>
      </c>
      <c r="F30" s="34">
        <f>ROUND(2*E30,0)/2</f>
        <v>6794</v>
      </c>
      <c r="G30">
        <f>+C30-(C$7+F30*C$8)</f>
        <v>6.6400000068824738E-3</v>
      </c>
      <c r="J30">
        <f>+G30</f>
        <v>6.6400000068824738E-3</v>
      </c>
      <c r="P30" s="65">
        <f>+D$11+D$12*F30+D$13*F30^2</f>
        <v>8.3474990686273395E-3</v>
      </c>
      <c r="Q30" s="2">
        <f>+C30-15018.5</f>
        <v>40650.980000000003</v>
      </c>
      <c r="R30" s="67">
        <f>+(P30-G30)^2</f>
        <v>2.9155530458595965E-6</v>
      </c>
      <c r="S30" s="3">
        <v>1</v>
      </c>
      <c r="T30" s="67">
        <f>+S30*R30</f>
        <v>2.9155530458595965E-6</v>
      </c>
    </row>
    <row r="31" spans="1:23" x14ac:dyDescent="0.2">
      <c r="A31" s="48" t="s">
        <v>51</v>
      </c>
      <c r="B31" s="49" t="s">
        <v>43</v>
      </c>
      <c r="C31" s="57">
        <v>56012.547599999998</v>
      </c>
      <c r="D31" s="57">
        <v>2.8E-3</v>
      </c>
      <c r="E31" s="47">
        <f>+(C31-C$7)/C$8</f>
        <v>7328.017558059898</v>
      </c>
      <c r="F31" s="34">
        <f>ROUND(2*E31,0)/2</f>
        <v>7328</v>
      </c>
      <c r="G31">
        <f>+C31-(C$7+F31*C$8)</f>
        <v>1.1279999998805579E-2</v>
      </c>
      <c r="J31">
        <f>+G31</f>
        <v>1.1279999998805579E-2</v>
      </c>
      <c r="O31">
        <f ca="1">+C$11+C$12*$F31</f>
        <v>7.4143120236836862E-3</v>
      </c>
      <c r="P31" s="65">
        <f>+D$11+D$12*F31+D$13*F31^2</f>
        <v>9.5584962775155068E-3</v>
      </c>
      <c r="Q31" s="2">
        <f>+C31-15018.5</f>
        <v>40994.047599999998</v>
      </c>
      <c r="R31" s="67">
        <f>+(P31-G31)^2</f>
        <v>2.9635750624155661E-6</v>
      </c>
      <c r="S31" s="3">
        <v>1</v>
      </c>
      <c r="T31" s="67">
        <f>+S31*R31</f>
        <v>2.9635750624155661E-6</v>
      </c>
    </row>
    <row r="32" spans="1:23" x14ac:dyDescent="0.2">
      <c r="A32" s="44" t="s">
        <v>52</v>
      </c>
      <c r="B32" s="45"/>
      <c r="C32" s="56">
        <v>56293.935283331208</v>
      </c>
      <c r="D32" s="56">
        <v>5.0000000000000001E-4</v>
      </c>
      <c r="E32" s="47">
        <f>+(C32-C$7)/C$8</f>
        <v>7766.0159444169267</v>
      </c>
      <c r="F32" s="34">
        <f>ROUND(2*E32,0)/2</f>
        <v>7766</v>
      </c>
      <c r="G32">
        <f>+C32-(C$7+F32*C$8)</f>
        <v>1.0243331213132478E-2</v>
      </c>
      <c r="L32">
        <f>+G32</f>
        <v>1.0243331213132478E-2</v>
      </c>
      <c r="O32">
        <f ca="1">+C$11+C$12*$F32</f>
        <v>9.0699241393983644E-3</v>
      </c>
      <c r="P32" s="65">
        <f>+D$11+D$12*F32+D$13*F32^2</f>
        <v>1.0624260865275133E-2</v>
      </c>
      <c r="Q32" s="2">
        <f>+C32-15018.5</f>
        <v>41275.435283331208</v>
      </c>
      <c r="R32" s="67">
        <f>+(P32-G32)^2</f>
        <v>1.4510739988152373E-7</v>
      </c>
      <c r="S32" s="3">
        <v>1</v>
      </c>
      <c r="T32" s="67">
        <f>+S32*R32</f>
        <v>1.4510739988152373E-7</v>
      </c>
    </row>
    <row r="33" spans="1:21" x14ac:dyDescent="0.2">
      <c r="A33" s="52" t="s">
        <v>53</v>
      </c>
      <c r="B33" s="51"/>
      <c r="C33" s="50">
        <v>57121.720500000003</v>
      </c>
      <c r="D33" s="50">
        <v>2.0000000000000001E-4</v>
      </c>
      <c r="E33" s="47">
        <f>+(C33-C$7)/C$8</f>
        <v>9054.517931635648</v>
      </c>
      <c r="F33" s="34">
        <f>ROUND(2*E33,0)/2</f>
        <v>9054.5</v>
      </c>
      <c r="G33">
        <f>+C33-(C$7+F33*C$8)</f>
        <v>1.1520000007294584E-2</v>
      </c>
      <c r="L33">
        <f>+G33</f>
        <v>1.1520000007294584E-2</v>
      </c>
      <c r="O33">
        <f ca="1">+C$11+C$12*$F33</f>
        <v>1.3940372109942561E-2</v>
      </c>
      <c r="P33" s="65">
        <f>+D$11+D$12*F33+D$13*F33^2</f>
        <v>1.4138208438239187E-2</v>
      </c>
      <c r="Q33" s="2">
        <f>+C33-15018.5</f>
        <v>42103.220500000003</v>
      </c>
      <c r="R33" s="67">
        <f>+(P33-G33)^2</f>
        <v>6.855015387869401E-6</v>
      </c>
      <c r="S33" s="3">
        <v>1</v>
      </c>
      <c r="T33" s="67">
        <f>+S33*R33</f>
        <v>6.855015387869401E-6</v>
      </c>
    </row>
    <row r="34" spans="1:21" x14ac:dyDescent="0.2">
      <c r="A34" s="74" t="s">
        <v>55</v>
      </c>
      <c r="B34" s="75" t="s">
        <v>43</v>
      </c>
      <c r="C34" s="76">
        <v>57466.399640000003</v>
      </c>
      <c r="D34" s="76">
        <v>2.9999999999999997E-4</v>
      </c>
      <c r="E34" s="47">
        <f>+(C34-C$7)/C$8</f>
        <v>9591.0336218168322</v>
      </c>
      <c r="F34" s="34">
        <f>ROUND(2*E34,0)/2</f>
        <v>9591</v>
      </c>
      <c r="O34">
        <f ca="1">+C$11+C$12*$F34</f>
        <v>1.5968307954876172E-2</v>
      </c>
      <c r="P34" s="65">
        <f>+D$11+D$12*F34+D$13*F34^2</f>
        <v>1.5768008812174893E-2</v>
      </c>
      <c r="Q34" s="2">
        <f>+C34-15018.5</f>
        <v>42447.899640000003</v>
      </c>
      <c r="R34" s="67">
        <f>+(P34-G34)^2</f>
        <v>2.4863010190082508E-4</v>
      </c>
      <c r="S34" s="3"/>
      <c r="T34" s="67">
        <f>+S34*R34</f>
        <v>0</v>
      </c>
      <c r="U34">
        <f>+C34-(C$7+F34*C$8)</f>
        <v>2.1600000007310882E-2</v>
      </c>
    </row>
    <row r="35" spans="1:21" x14ac:dyDescent="0.2">
      <c r="A35" s="77" t="s">
        <v>2</v>
      </c>
      <c r="B35" s="78" t="s">
        <v>43</v>
      </c>
      <c r="C35" s="79">
        <v>57489.522100000002</v>
      </c>
      <c r="D35" s="79">
        <v>3.8E-3</v>
      </c>
      <c r="E35" s="47">
        <f>+(C35-C$7)/C$8</f>
        <v>9627.0252474939371</v>
      </c>
      <c r="F35" s="34">
        <f>ROUND(2*E35,0)/2</f>
        <v>9627</v>
      </c>
      <c r="G35">
        <f>+C35-(C$7+F35*C$8)</f>
        <v>1.6220000004977919E-2</v>
      </c>
      <c r="K35">
        <f>+G35</f>
        <v>1.6220000004977919E-2</v>
      </c>
      <c r="O35">
        <f ca="1">+C$11+C$12*$F35</f>
        <v>1.6104385663017105E-2</v>
      </c>
      <c r="P35" s="65">
        <f>+D$11+D$12*F35+D$13*F35^2</f>
        <v>1.5880879522170821E-2</v>
      </c>
      <c r="Q35" s="2">
        <f>+C35-15018.5</f>
        <v>42471.022100000002</v>
      </c>
      <c r="R35" s="67">
        <f>+(P35-G35)^2</f>
        <v>1.1500270185931936E-7</v>
      </c>
      <c r="S35" s="3">
        <v>1</v>
      </c>
      <c r="T35" s="67">
        <f>+S35*R35</f>
        <v>1.1500270185931936E-7</v>
      </c>
    </row>
    <row r="36" spans="1:21" x14ac:dyDescent="0.2">
      <c r="A36" s="77" t="s">
        <v>2</v>
      </c>
      <c r="B36" s="78" t="s">
        <v>43</v>
      </c>
      <c r="C36" s="80">
        <v>57499.479899999998</v>
      </c>
      <c r="D36" s="80">
        <v>2.7000000000000001E-3</v>
      </c>
      <c r="E36" s="47">
        <f>+(C36-C$7)/C$8</f>
        <v>9642.5252163626192</v>
      </c>
      <c r="F36" s="34">
        <f>ROUND(2*E36,0)/2</f>
        <v>9642.5</v>
      </c>
      <c r="G36">
        <f>+C36-(C$7+F36*C$8)</f>
        <v>1.6199999998207204E-2</v>
      </c>
      <c r="K36">
        <f>+G36</f>
        <v>1.6199999998207204E-2</v>
      </c>
      <c r="O36">
        <f ca="1">+C$11+C$12*$F36</f>
        <v>1.6162974676244453E-2</v>
      </c>
      <c r="P36" s="65">
        <f>+D$11+D$12*F36+D$13*F36^2</f>
        <v>1.5929612522709646E-2</v>
      </c>
      <c r="Q36" s="2">
        <f>+C36-15018.5</f>
        <v>42480.979899999998</v>
      </c>
      <c r="R36" s="67">
        <f>+(P36-G36)^2</f>
        <v>7.3109386905942746E-8</v>
      </c>
      <c r="S36" s="3">
        <v>1</v>
      </c>
      <c r="T36" s="67">
        <f>+S36*R36</f>
        <v>7.3109386905942746E-8</v>
      </c>
    </row>
    <row r="37" spans="1:21" x14ac:dyDescent="0.2">
      <c r="A37" s="83" t="s">
        <v>65</v>
      </c>
      <c r="B37" s="84" t="s">
        <v>43</v>
      </c>
      <c r="C37" s="85">
        <v>57760.632230000105</v>
      </c>
      <c r="D37" s="85">
        <v>2.3999999999999998E-3</v>
      </c>
      <c r="E37" s="47">
        <f>+(C37-C$7)/C$8</f>
        <v>10049.025947948614</v>
      </c>
      <c r="F37" s="34">
        <f>ROUND(2*E37,0)/2</f>
        <v>10049</v>
      </c>
      <c r="G37">
        <f>+C37-(C$7+F37*C$8)</f>
        <v>1.6670000106387306E-2</v>
      </c>
      <c r="K37">
        <f>+G37</f>
        <v>1.6670000106387306E-2</v>
      </c>
      <c r="O37">
        <f ca="1">+C$11+C$12*$F37</f>
        <v>1.7699518797335813E-2</v>
      </c>
      <c r="P37" s="65">
        <f>+D$11+D$12*F37+D$13*F37^2</f>
        <v>1.7236877213726628E-2</v>
      </c>
      <c r="Q37" s="2">
        <f>+C37-15018.5</f>
        <v>42742.132230000105</v>
      </c>
      <c r="R37" s="67">
        <f>+(P37-G37)^2</f>
        <v>3.2134965482539699E-7</v>
      </c>
      <c r="S37" s="3">
        <v>2</v>
      </c>
      <c r="T37" s="67">
        <f>+S37*R37</f>
        <v>6.4269930965079398E-7</v>
      </c>
    </row>
    <row r="38" spans="1:21" x14ac:dyDescent="0.2">
      <c r="A38" s="81" t="s">
        <v>0</v>
      </c>
      <c r="B38" s="82" t="s">
        <v>43</v>
      </c>
      <c r="C38" s="82">
        <v>57842.545400000003</v>
      </c>
      <c r="D38" s="82">
        <v>2E-3</v>
      </c>
      <c r="E38" s="47">
        <f>+(C38-C$7)/C$8</f>
        <v>10176.529170039234</v>
      </c>
      <c r="F38" s="34">
        <f>ROUND(2*E38,0)/2</f>
        <v>10176.5</v>
      </c>
      <c r="G38">
        <f>+C38-(C$7+F38*C$8)</f>
        <v>1.8740000006800983E-2</v>
      </c>
      <c r="K38">
        <f>+G38</f>
        <v>1.8740000006800983E-2</v>
      </c>
      <c r="O38">
        <f ca="1">+C$11+C$12*$F38</f>
        <v>1.8181460680334945E-2</v>
      </c>
      <c r="P38" s="65">
        <f>+D$11+D$12*F38+D$13*F38^2</f>
        <v>1.7658495266237702E-2</v>
      </c>
      <c r="Q38" s="2">
        <f>+C38-15018.5</f>
        <v>42824.045400000003</v>
      </c>
      <c r="R38" s="67">
        <f>+(P38-G38)^2</f>
        <v>1.1696525038608504E-6</v>
      </c>
      <c r="S38" s="3">
        <v>1</v>
      </c>
      <c r="T38" s="67">
        <f>+S38*R38</f>
        <v>1.1696525038608504E-6</v>
      </c>
    </row>
    <row r="39" spans="1:21" x14ac:dyDescent="0.2">
      <c r="A39" s="83" t="s">
        <v>65</v>
      </c>
      <c r="B39" s="84" t="s">
        <v>43</v>
      </c>
      <c r="C39" s="85">
        <v>58112.694250000175</v>
      </c>
      <c r="D39" s="85">
        <v>5.9999999999999995E-4</v>
      </c>
      <c r="E39" s="47">
        <f>+(C39-C$7)/C$8</f>
        <v>10597.033575120133</v>
      </c>
      <c r="F39" s="34">
        <f>ROUND(2*E39,0)/2</f>
        <v>10597</v>
      </c>
      <c r="G39">
        <f>+C39-(C$7+F39*C$8)</f>
        <v>2.157000017905375E-2</v>
      </c>
      <c r="K39">
        <f>+G39</f>
        <v>2.157000017905375E-2</v>
      </c>
      <c r="O39">
        <f ca="1">+C$11+C$12*$F39</f>
        <v>1.9770923910147779E-2</v>
      </c>
      <c r="P39" s="65">
        <f>+D$11+D$12*F39+D$13*F39^2</f>
        <v>1.9088235839039819E-2</v>
      </c>
      <c r="Q39" s="2">
        <f>+C39-15018.5</f>
        <v>43094.194250000175</v>
      </c>
      <c r="R39" s="67">
        <f>+(P39-G39)^2</f>
        <v>6.1591542393647832E-6</v>
      </c>
      <c r="S39" s="3">
        <v>3</v>
      </c>
      <c r="T39" s="67">
        <f>+S39*R39</f>
        <v>1.8477462718094349E-5</v>
      </c>
    </row>
    <row r="40" spans="1:21" x14ac:dyDescent="0.2">
      <c r="A40" s="5" t="s">
        <v>63</v>
      </c>
      <c r="C40" s="10">
        <v>58190.748800000001</v>
      </c>
      <c r="D40" s="10">
        <v>5.0000000000000001E-4</v>
      </c>
      <c r="E40" s="47">
        <f>+(C40-C$7)/C$8</f>
        <v>10718.530602079578</v>
      </c>
      <c r="F40" s="34">
        <f>ROUND(2*E40,0)/2</f>
        <v>10718.5</v>
      </c>
      <c r="G40">
        <f>+C40-(C$7+F40*C$8)</f>
        <v>1.9660000005387701E-2</v>
      </c>
      <c r="L40">
        <f>+G40</f>
        <v>1.9660000005387701E-2</v>
      </c>
      <c r="O40">
        <f ca="1">+C$11+C$12*$F40</f>
        <v>2.0230186175123427E-2</v>
      </c>
      <c r="P40" s="65">
        <f>+D$11+D$12*F40+D$13*F40^2</f>
        <v>1.9512557981824361E-2</v>
      </c>
      <c r="Q40" s="2">
        <f>+C40-15018.5</f>
        <v>43172.248800000001</v>
      </c>
      <c r="R40" s="67">
        <f>+(P40-G40)^2</f>
        <v>2.1739150312452473E-8</v>
      </c>
      <c r="S40" s="3">
        <v>1</v>
      </c>
      <c r="T40" s="67">
        <f>+S40*R40</f>
        <v>2.1739150312452473E-8</v>
      </c>
    </row>
    <row r="41" spans="1:21" x14ac:dyDescent="0.2">
      <c r="A41" s="86" t="s">
        <v>66</v>
      </c>
      <c r="B41" s="87" t="s">
        <v>42</v>
      </c>
      <c r="C41" s="88">
        <v>58190.748800000001</v>
      </c>
      <c r="D41" s="86">
        <v>5.0000000000000001E-4</v>
      </c>
      <c r="E41" s="47">
        <f>+(C41-C$7)/C$8</f>
        <v>10718.530602079578</v>
      </c>
      <c r="F41" s="34">
        <f>ROUND(2*E41,0)/2</f>
        <v>10718.5</v>
      </c>
      <c r="G41">
        <f>+C41-(C$7+F41*C$8)</f>
        <v>1.9660000005387701E-2</v>
      </c>
      <c r="L41">
        <f>+G41</f>
        <v>1.9660000005387701E-2</v>
      </c>
      <c r="O41">
        <f ca="1">+C$11+C$12*$F41</f>
        <v>2.0230186175123427E-2</v>
      </c>
      <c r="P41" s="65">
        <f>+D$11+D$12*F41+D$13*F41^2</f>
        <v>1.9512557981824361E-2</v>
      </c>
      <c r="Q41" s="2">
        <f>+C41-15018.5</f>
        <v>43172.248800000001</v>
      </c>
      <c r="R41" s="67">
        <f>+(P41-G41)^2</f>
        <v>2.1739150312452473E-8</v>
      </c>
      <c r="S41" s="3">
        <v>1</v>
      </c>
      <c r="T41" s="67">
        <f>+S41*R41</f>
        <v>2.1739150312452473E-8</v>
      </c>
    </row>
    <row r="42" spans="1:21" x14ac:dyDescent="0.2">
      <c r="A42" s="18" t="s">
        <v>64</v>
      </c>
      <c r="C42" s="10">
        <v>58556.9421</v>
      </c>
      <c r="D42" s="10">
        <v>2.0000000000000001E-4</v>
      </c>
      <c r="E42" s="47">
        <f>+(C42-C$7)/C$8</f>
        <v>11288.53449349356</v>
      </c>
      <c r="F42" s="34">
        <f>ROUND(2*E42,0)/2</f>
        <v>11288.5</v>
      </c>
      <c r="G42">
        <f>+C42-(C$7+F42*C$8)</f>
        <v>2.216000000044005E-2</v>
      </c>
      <c r="L42">
        <f>+G42</f>
        <v>2.216000000044005E-2</v>
      </c>
      <c r="O42">
        <f ca="1">+C$11+C$12*$F42</f>
        <v>2.2384749887354852E-2</v>
      </c>
      <c r="P42" s="65">
        <f>+D$11+D$12*F42+D$13*F42^2</f>
        <v>2.1570303653740755E-2</v>
      </c>
      <c r="Q42" s="2">
        <f>+C42-15018.5</f>
        <v>43538.4421</v>
      </c>
      <c r="R42" s="67">
        <f>+(P42-G42)^2</f>
        <v>3.4774178131049503E-7</v>
      </c>
      <c r="S42" s="3">
        <v>1</v>
      </c>
      <c r="T42" s="67">
        <f>+S42*R42</f>
        <v>3.4774178131049503E-7</v>
      </c>
    </row>
    <row r="43" spans="1:21" x14ac:dyDescent="0.2">
      <c r="C43" s="10"/>
      <c r="D43" s="10"/>
    </row>
    <row r="44" spans="1:21" x14ac:dyDescent="0.2">
      <c r="C44" s="10"/>
      <c r="D44" s="10"/>
    </row>
    <row r="45" spans="1:21" x14ac:dyDescent="0.2">
      <c r="C45" s="10"/>
      <c r="D45" s="10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rotectedRanges>
    <protectedRange sqref="A40:D41" name="Range1"/>
  </protectedRanges>
  <sortState xmlns:xlrd2="http://schemas.microsoft.com/office/spreadsheetml/2017/richdata2" ref="A21:T42">
    <sortCondition ref="C21:C42"/>
  </sortState>
  <phoneticPr fontId="8" type="noConversion"/>
  <hyperlinks>
    <hyperlink ref="L1200" r:id="rId1" display="http://vsolj.cetus-net.org/bulletin.html"/>
    <hyperlink ref="H64773" r:id="rId2" display="http://vsolj.cetus-net.org/bulletin.html"/>
    <hyperlink ref="H64766" r:id="rId3" display="https://www.aavso.org/ejaavso"/>
    <hyperlink ref="AP917" r:id="rId4" display="http://cdsbib.u-strasbg.fr/cgi-bin/cdsbib?1990RMxAA..21..381G"/>
    <hyperlink ref="AP921" r:id="rId5" display="http://cdsbib.u-strasbg.fr/cgi-bin/cdsbib?1990RMxAA..21..381G"/>
    <hyperlink ref="AP920" r:id="rId6" display="http://cdsbib.u-strasbg.fr/cgi-bin/cdsbib?1990RMxAA..21..381G"/>
    <hyperlink ref="AP901" r:id="rId7" display="http://cdsbib.u-strasbg.fr/cgi-bin/cdsbib?1990RMxAA..21..381G"/>
    <hyperlink ref="I64773" r:id="rId8" display="http://vsolj.cetus-net.org/bulletin.html"/>
    <hyperlink ref="AQ1057" r:id="rId9" display="http://cdsbib.u-strasbg.fr/cgi-bin/cdsbib?1990RMxAA..21..381G"/>
    <hyperlink ref="AQ55823" r:id="rId10" display="http://cdsbib.u-strasbg.fr/cgi-bin/cdsbib?1990RMxAA..21..381G"/>
    <hyperlink ref="AQ1058" r:id="rId11" display="http://cdsbib.u-strasbg.fr/cgi-bin/cdsbib?1990RMxAA..21..381G"/>
    <hyperlink ref="H64770" r:id="rId12" display="https://www.aavso.org/ejaavso"/>
    <hyperlink ref="H1943" r:id="rId13" display="http://vsolj.cetus-net.org/bulletin.html"/>
    <hyperlink ref="AP3187" r:id="rId14" display="http://cdsbib.u-strasbg.fr/cgi-bin/cdsbib?1990RMxAA..21..381G"/>
    <hyperlink ref="AP3190" r:id="rId15" display="http://cdsbib.u-strasbg.fr/cgi-bin/cdsbib?1990RMxAA..21..381G"/>
    <hyperlink ref="AP3188" r:id="rId16" display="http://cdsbib.u-strasbg.fr/cgi-bin/cdsbib?1990RMxAA..21..381G"/>
    <hyperlink ref="AP3172" r:id="rId17" display="http://cdsbib.u-strasbg.fr/cgi-bin/cdsbib?1990RMxAA..21..381G"/>
    <hyperlink ref="I1943" r:id="rId18" display="http://vsolj.cetus-net.org/bulletin.html"/>
    <hyperlink ref="AQ3401" r:id="rId19" display="http://cdsbib.u-strasbg.fr/cgi-bin/cdsbib?1990RMxAA..21..381G"/>
    <hyperlink ref="AQ102" r:id="rId20" display="http://cdsbib.u-strasbg.fr/cgi-bin/cdsbib?1990RMxAA..21..381G"/>
    <hyperlink ref="AQ3405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2023-01-12T03:28:00Z</dcterms:modified>
</cp:coreProperties>
</file>