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385AA34-ADA8-4ACD-8F75-56E23B3D3085}" xr6:coauthVersionLast="47" xr6:coauthVersionMax="47" xr10:uidLastSave="{00000000-0000-0000-0000-000000000000}"/>
  <bookViews>
    <workbookView xWindow="14415" yWindow="690" windowWidth="13275" windowHeight="14595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0" i="1" l="1"/>
  <c r="F70" i="1" s="1"/>
  <c r="Q70" i="1"/>
  <c r="S70" i="1"/>
  <c r="E66" i="1"/>
  <c r="F66" i="1" s="1"/>
  <c r="Q66" i="1"/>
  <c r="S66" i="1"/>
  <c r="E67" i="1"/>
  <c r="F67" i="1"/>
  <c r="G67" i="1" s="1"/>
  <c r="K67" i="1" s="1"/>
  <c r="Q67" i="1"/>
  <c r="S67" i="1"/>
  <c r="E68" i="1"/>
  <c r="F68" i="1"/>
  <c r="G68" i="1"/>
  <c r="K68" i="1" s="1"/>
  <c r="Q68" i="1"/>
  <c r="S68" i="1"/>
  <c r="E69" i="1"/>
  <c r="F69" i="1" s="1"/>
  <c r="Q69" i="1"/>
  <c r="S69" i="1"/>
  <c r="D11" i="1"/>
  <c r="P25" i="1" s="1"/>
  <c r="R25" i="1" s="1"/>
  <c r="T25" i="1" s="1"/>
  <c r="D12" i="1"/>
  <c r="D13" i="1"/>
  <c r="S62" i="1"/>
  <c r="S61" i="1"/>
  <c r="S54" i="1"/>
  <c r="S52" i="1"/>
  <c r="S51" i="1"/>
  <c r="S50" i="1"/>
  <c r="S47" i="1"/>
  <c r="S46" i="1"/>
  <c r="S45" i="1"/>
  <c r="S44" i="1"/>
  <c r="S43" i="1"/>
  <c r="S42" i="1"/>
  <c r="S41" i="1"/>
  <c r="S40" i="1"/>
  <c r="S39" i="1"/>
  <c r="S37" i="1"/>
  <c r="S36" i="1"/>
  <c r="S35" i="1"/>
  <c r="S34" i="1"/>
  <c r="S33" i="1"/>
  <c r="S32" i="1"/>
  <c r="S31" i="1"/>
  <c r="S28" i="1"/>
  <c r="S64" i="1"/>
  <c r="S65" i="1"/>
  <c r="S63" i="1"/>
  <c r="S24" i="1"/>
  <c r="S25" i="1"/>
  <c r="S26" i="1"/>
  <c r="S27" i="1"/>
  <c r="S29" i="1"/>
  <c r="S30" i="1"/>
  <c r="S38" i="1"/>
  <c r="S48" i="1"/>
  <c r="S53" i="1"/>
  <c r="S55" i="1"/>
  <c r="S56" i="1"/>
  <c r="S57" i="1"/>
  <c r="S58" i="1"/>
  <c r="S59" i="1"/>
  <c r="S60" i="1"/>
  <c r="S23" i="1"/>
  <c r="S22" i="1"/>
  <c r="S21" i="1"/>
  <c r="Q21" i="1"/>
  <c r="D9" i="1"/>
  <c r="C9" i="1"/>
  <c r="Q65" i="1"/>
  <c r="Q64" i="1"/>
  <c r="Q49" i="1"/>
  <c r="Q50" i="1"/>
  <c r="Q62" i="1"/>
  <c r="Q63" i="1"/>
  <c r="Q22" i="1"/>
  <c r="Q37" i="1"/>
  <c r="Q39" i="1"/>
  <c r="Q43" i="1"/>
  <c r="Q44" i="1"/>
  <c r="Q45" i="1"/>
  <c r="Q54" i="1"/>
  <c r="Q60" i="1"/>
  <c r="G46" i="2"/>
  <c r="C46" i="2"/>
  <c r="G37" i="2"/>
  <c r="C37" i="2"/>
  <c r="G36" i="2"/>
  <c r="C36" i="2"/>
  <c r="G35" i="2"/>
  <c r="C35" i="2"/>
  <c r="G34" i="2"/>
  <c r="C34" i="2"/>
  <c r="G33" i="2"/>
  <c r="C33" i="2"/>
  <c r="G45" i="2"/>
  <c r="C45" i="2"/>
  <c r="G32" i="2"/>
  <c r="C32" i="2"/>
  <c r="G31" i="2"/>
  <c r="C31" i="2"/>
  <c r="G30" i="2"/>
  <c r="C30" i="2"/>
  <c r="G29" i="2"/>
  <c r="C29" i="2"/>
  <c r="G28" i="2"/>
  <c r="C28" i="2"/>
  <c r="G44" i="2"/>
  <c r="C44" i="2"/>
  <c r="E44" i="2"/>
  <c r="G43" i="2"/>
  <c r="C43" i="2"/>
  <c r="G42" i="2"/>
  <c r="C42" i="2"/>
  <c r="E42" i="2"/>
  <c r="G27" i="2"/>
  <c r="C27" i="2"/>
  <c r="G26" i="2"/>
  <c r="C26" i="2"/>
  <c r="E26" i="2"/>
  <c r="G25" i="2"/>
  <c r="C25" i="2"/>
  <c r="G41" i="2"/>
  <c r="C41" i="2"/>
  <c r="E41" i="2"/>
  <c r="G24" i="2"/>
  <c r="C24" i="2"/>
  <c r="G40" i="2"/>
  <c r="C40" i="2"/>
  <c r="E40" i="2"/>
  <c r="G23" i="2"/>
  <c r="C23" i="2"/>
  <c r="G22" i="2"/>
  <c r="C22" i="2"/>
  <c r="G21" i="2"/>
  <c r="C21" i="2"/>
  <c r="E21" i="2"/>
  <c r="G20" i="2"/>
  <c r="C20" i="2"/>
  <c r="E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E13" i="2"/>
  <c r="G12" i="2"/>
  <c r="C12" i="2"/>
  <c r="G11" i="2"/>
  <c r="C11" i="2"/>
  <c r="G39" i="2"/>
  <c r="C39" i="2"/>
  <c r="G38" i="2"/>
  <c r="C38" i="2"/>
  <c r="H46" i="2"/>
  <c r="B46" i="2"/>
  <c r="D46" i="2"/>
  <c r="A46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45" i="2"/>
  <c r="B45" i="2"/>
  <c r="D45" i="2"/>
  <c r="A45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44" i="2"/>
  <c r="B44" i="2"/>
  <c r="D44" i="2"/>
  <c r="A44" i="2"/>
  <c r="H43" i="2"/>
  <c r="B43" i="2"/>
  <c r="D43" i="2"/>
  <c r="A43" i="2"/>
  <c r="H42" i="2"/>
  <c r="B42" i="2"/>
  <c r="D42" i="2"/>
  <c r="A42" i="2"/>
  <c r="H27" i="2"/>
  <c r="B27" i="2"/>
  <c r="D27" i="2"/>
  <c r="A27" i="2"/>
  <c r="H26" i="2"/>
  <c r="B26" i="2"/>
  <c r="D26" i="2"/>
  <c r="A26" i="2"/>
  <c r="H25" i="2"/>
  <c r="B25" i="2"/>
  <c r="D25" i="2"/>
  <c r="A25" i="2"/>
  <c r="H41" i="2"/>
  <c r="B41" i="2"/>
  <c r="D41" i="2"/>
  <c r="A41" i="2"/>
  <c r="H24" i="2"/>
  <c r="B24" i="2"/>
  <c r="D24" i="2"/>
  <c r="A24" i="2"/>
  <c r="H40" i="2"/>
  <c r="B40" i="2"/>
  <c r="D40" i="2"/>
  <c r="A40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9" i="2"/>
  <c r="B39" i="2"/>
  <c r="D39" i="2"/>
  <c r="A39" i="2"/>
  <c r="H38" i="2"/>
  <c r="B38" i="2"/>
  <c r="D38" i="2"/>
  <c r="A38" i="2"/>
  <c r="Q59" i="1"/>
  <c r="Q58" i="1"/>
  <c r="Q57" i="1"/>
  <c r="Q56" i="1"/>
  <c r="Q55" i="1"/>
  <c r="Q61" i="1"/>
  <c r="Q40" i="1"/>
  <c r="Q41" i="1"/>
  <c r="Q42" i="1"/>
  <c r="Q46" i="1"/>
  <c r="Q52" i="1"/>
  <c r="Q53" i="1"/>
  <c r="Q48" i="1"/>
  <c r="Q47" i="1"/>
  <c r="Q51" i="1"/>
  <c r="Q23" i="1"/>
  <c r="Q24" i="1"/>
  <c r="Q25" i="1"/>
  <c r="Q26" i="1"/>
  <c r="Q38" i="1"/>
  <c r="F16" i="1"/>
  <c r="F17" i="1" s="1"/>
  <c r="Q33" i="1"/>
  <c r="Q34" i="1"/>
  <c r="Q35" i="1"/>
  <c r="Q36" i="1"/>
  <c r="Q32" i="1"/>
  <c r="Q31" i="1"/>
  <c r="Q27" i="1"/>
  <c r="Q29" i="1"/>
  <c r="Q30" i="1"/>
  <c r="C7" i="1"/>
  <c r="C8" i="1"/>
  <c r="Q28" i="1"/>
  <c r="C17" i="1"/>
  <c r="E41" i="1"/>
  <c r="F41" i="1"/>
  <c r="E25" i="1"/>
  <c r="F25" i="1"/>
  <c r="E39" i="1"/>
  <c r="F39" i="1"/>
  <c r="E45" i="1"/>
  <c r="F45" i="1"/>
  <c r="E37" i="1"/>
  <c r="F37" i="1"/>
  <c r="G41" i="1"/>
  <c r="K41" i="1"/>
  <c r="E33" i="1"/>
  <c r="F33" i="1"/>
  <c r="E34" i="1"/>
  <c r="F34" i="1"/>
  <c r="E43" i="1"/>
  <c r="F43" i="1"/>
  <c r="G39" i="1"/>
  <c r="K39" i="1"/>
  <c r="E14" i="2"/>
  <c r="E45" i="2"/>
  <c r="E11" i="2"/>
  <c r="E23" i="2"/>
  <c r="E34" i="2"/>
  <c r="E38" i="2"/>
  <c r="E39" i="2"/>
  <c r="E25" i="2"/>
  <c r="E61" i="1"/>
  <c r="F61" i="1"/>
  <c r="E26" i="1"/>
  <c r="F26" i="1"/>
  <c r="G26" i="1"/>
  <c r="J26" i="1"/>
  <c r="E36" i="1"/>
  <c r="F36" i="1"/>
  <c r="E46" i="1"/>
  <c r="F46" i="1"/>
  <c r="E23" i="1"/>
  <c r="F23" i="1"/>
  <c r="E53" i="1"/>
  <c r="F53" i="1"/>
  <c r="E24" i="1"/>
  <c r="F24" i="1"/>
  <c r="E50" i="1"/>
  <c r="F50" i="1"/>
  <c r="E58" i="1"/>
  <c r="F58" i="1"/>
  <c r="G33" i="1"/>
  <c r="K33" i="1"/>
  <c r="E52" i="1"/>
  <c r="F52" i="1"/>
  <c r="E48" i="1"/>
  <c r="F48" i="1"/>
  <c r="G37" i="1"/>
  <c r="K37" i="1"/>
  <c r="E63" i="1"/>
  <c r="F63" i="1"/>
  <c r="E55" i="1"/>
  <c r="F55" i="1"/>
  <c r="P55" i="1"/>
  <c r="R55" i="1" s="1"/>
  <c r="T55" i="1" s="1"/>
  <c r="E47" i="1"/>
  <c r="F47" i="1"/>
  <c r="E30" i="1"/>
  <c r="G32" i="1"/>
  <c r="K32" i="1"/>
  <c r="E44" i="1"/>
  <c r="F44" i="1"/>
  <c r="G25" i="1"/>
  <c r="J25" i="1"/>
  <c r="G28" i="1"/>
  <c r="K28" i="1"/>
  <c r="E32" i="1"/>
  <c r="F32" i="1"/>
  <c r="G62" i="1"/>
  <c r="K62" i="1"/>
  <c r="E60" i="1"/>
  <c r="F60" i="1"/>
  <c r="E57" i="1"/>
  <c r="E65" i="1"/>
  <c r="F65" i="1"/>
  <c r="E35" i="1"/>
  <c r="F35" i="1"/>
  <c r="G35" i="1"/>
  <c r="K35" i="1"/>
  <c r="E42" i="1"/>
  <c r="G27" i="1"/>
  <c r="J27" i="1"/>
  <c r="E28" i="1"/>
  <c r="F28" i="1"/>
  <c r="E54" i="1"/>
  <c r="F54" i="1"/>
  <c r="E38" i="1"/>
  <c r="F38" i="1"/>
  <c r="E49" i="1"/>
  <c r="F49" i="1"/>
  <c r="E62" i="1"/>
  <c r="F62" i="1"/>
  <c r="G56" i="1"/>
  <c r="J56" i="1"/>
  <c r="E64" i="1"/>
  <c r="F64" i="1"/>
  <c r="E59" i="1"/>
  <c r="F59" i="1"/>
  <c r="G59" i="1"/>
  <c r="J59" i="1"/>
  <c r="G22" i="1"/>
  <c r="I22" i="1"/>
  <c r="G34" i="1"/>
  <c r="K34" i="1"/>
  <c r="E51" i="1"/>
  <c r="F51" i="1"/>
  <c r="G51" i="1"/>
  <c r="K51" i="1"/>
  <c r="E40" i="1"/>
  <c r="F40" i="1"/>
  <c r="E21" i="1"/>
  <c r="F21" i="1"/>
  <c r="E29" i="1"/>
  <c r="F29" i="1"/>
  <c r="G45" i="1"/>
  <c r="K45" i="1"/>
  <c r="E31" i="1"/>
  <c r="F31" i="1"/>
  <c r="G43" i="1"/>
  <c r="K43" i="1"/>
  <c r="G36" i="1"/>
  <c r="K36" i="1"/>
  <c r="E22" i="1"/>
  <c r="F22" i="1"/>
  <c r="G23" i="1"/>
  <c r="J23" i="1"/>
  <c r="E27" i="1"/>
  <c r="F27" i="1"/>
  <c r="G50" i="1"/>
  <c r="K50" i="1"/>
  <c r="G58" i="1"/>
  <c r="J58" i="1"/>
  <c r="E56" i="1"/>
  <c r="F56" i="1"/>
  <c r="G24" i="1"/>
  <c r="J24" i="1"/>
  <c r="U49" i="1"/>
  <c r="G48" i="1"/>
  <c r="J48" i="1"/>
  <c r="G53" i="1"/>
  <c r="J53" i="1"/>
  <c r="G31" i="1"/>
  <c r="K31" i="1"/>
  <c r="G54" i="1"/>
  <c r="K54" i="1"/>
  <c r="G47" i="1"/>
  <c r="K47" i="1"/>
  <c r="G52" i="1"/>
  <c r="K52" i="1"/>
  <c r="G44" i="1"/>
  <c r="K44" i="1"/>
  <c r="E24" i="2"/>
  <c r="E12" i="2"/>
  <c r="E22" i="2"/>
  <c r="E36" i="2"/>
  <c r="E32" i="2"/>
  <c r="G29" i="1"/>
  <c r="J29" i="1"/>
  <c r="G38" i="1"/>
  <c r="J38" i="1"/>
  <c r="G65" i="1"/>
  <c r="K65" i="1"/>
  <c r="G21" i="1"/>
  <c r="I21" i="1"/>
  <c r="G60" i="1"/>
  <c r="J60" i="1"/>
  <c r="E29" i="2"/>
  <c r="E28" i="2"/>
  <c r="E33" i="2"/>
  <c r="G61" i="1"/>
  <c r="F57" i="1"/>
  <c r="E35" i="2"/>
  <c r="G46" i="1"/>
  <c r="K46" i="1"/>
  <c r="G40" i="1"/>
  <c r="K40" i="1"/>
  <c r="P51" i="1"/>
  <c r="R51" i="1" s="1"/>
  <c r="T51" i="1" s="1"/>
  <c r="G64" i="1"/>
  <c r="K64" i="1"/>
  <c r="G55" i="1"/>
  <c r="J55" i="1"/>
  <c r="E46" i="2"/>
  <c r="E37" i="2"/>
  <c r="E18" i="2"/>
  <c r="E43" i="2"/>
  <c r="E19" i="2"/>
  <c r="E31" i="2"/>
  <c r="F42" i="1"/>
  <c r="E27" i="2"/>
  <c r="F30" i="1"/>
  <c r="E17" i="2"/>
  <c r="G63" i="1"/>
  <c r="I63" i="1"/>
  <c r="E16" i="2"/>
  <c r="E15" i="2"/>
  <c r="E30" i="2"/>
  <c r="G42" i="1"/>
  <c r="K42" i="1"/>
  <c r="G57" i="1"/>
  <c r="J57" i="1"/>
  <c r="G30" i="1"/>
  <c r="J30" i="1"/>
  <c r="K61" i="1"/>
  <c r="G70" i="1" l="1"/>
  <c r="K70" i="1" s="1"/>
  <c r="P70" i="1"/>
  <c r="R70" i="1" s="1"/>
  <c r="T70" i="1" s="1"/>
  <c r="P32" i="1"/>
  <c r="R32" i="1" s="1"/>
  <c r="T32" i="1" s="1"/>
  <c r="W14" i="1"/>
  <c r="P33" i="1"/>
  <c r="R33" i="1" s="1"/>
  <c r="T33" i="1" s="1"/>
  <c r="P22" i="1"/>
  <c r="R22" i="1" s="1"/>
  <c r="T22" i="1" s="1"/>
  <c r="P29" i="1"/>
  <c r="R29" i="1" s="1"/>
  <c r="T29" i="1" s="1"/>
  <c r="P41" i="1"/>
  <c r="R41" i="1" s="1"/>
  <c r="T41" i="1" s="1"/>
  <c r="P23" i="1"/>
  <c r="R23" i="1" s="1"/>
  <c r="T23" i="1" s="1"/>
  <c r="W17" i="1"/>
  <c r="P38" i="1"/>
  <c r="R38" i="1" s="1"/>
  <c r="T38" i="1" s="1"/>
  <c r="P31" i="1"/>
  <c r="R31" i="1" s="1"/>
  <c r="T31" i="1" s="1"/>
  <c r="P50" i="1"/>
  <c r="R50" i="1" s="1"/>
  <c r="T50" i="1" s="1"/>
  <c r="P64" i="1"/>
  <c r="R64" i="1" s="1"/>
  <c r="T64" i="1" s="1"/>
  <c r="P49" i="1"/>
  <c r="R49" i="1" s="1"/>
  <c r="P28" i="1"/>
  <c r="R28" i="1" s="1"/>
  <c r="T28" i="1" s="1"/>
  <c r="P47" i="1"/>
  <c r="R47" i="1" s="1"/>
  <c r="T47" i="1" s="1"/>
  <c r="P53" i="1"/>
  <c r="R53" i="1" s="1"/>
  <c r="T53" i="1" s="1"/>
  <c r="P61" i="1"/>
  <c r="R61" i="1" s="1"/>
  <c r="T61" i="1" s="1"/>
  <c r="W10" i="1"/>
  <c r="P56" i="1"/>
  <c r="R56" i="1" s="1"/>
  <c r="T56" i="1" s="1"/>
  <c r="P62" i="1"/>
  <c r="R62" i="1" s="1"/>
  <c r="T62" i="1" s="1"/>
  <c r="P35" i="1"/>
  <c r="R35" i="1" s="1"/>
  <c r="T35" i="1" s="1"/>
  <c r="P27" i="1"/>
  <c r="R27" i="1" s="1"/>
  <c r="T27" i="1" s="1"/>
  <c r="P26" i="1"/>
  <c r="R26" i="1" s="1"/>
  <c r="T26" i="1" s="1"/>
  <c r="P60" i="1"/>
  <c r="R60" i="1" s="1"/>
  <c r="T60" i="1" s="1"/>
  <c r="P46" i="1"/>
  <c r="R46" i="1" s="1"/>
  <c r="T46" i="1" s="1"/>
  <c r="P59" i="1"/>
  <c r="R59" i="1" s="1"/>
  <c r="T59" i="1" s="1"/>
  <c r="W9" i="1"/>
  <c r="P57" i="1"/>
  <c r="R57" i="1" s="1"/>
  <c r="T57" i="1" s="1"/>
  <c r="P48" i="1"/>
  <c r="R48" i="1" s="1"/>
  <c r="T48" i="1" s="1"/>
  <c r="P58" i="1"/>
  <c r="R58" i="1" s="1"/>
  <c r="T58" i="1" s="1"/>
  <c r="P36" i="1"/>
  <c r="R36" i="1" s="1"/>
  <c r="T36" i="1" s="1"/>
  <c r="P37" i="1"/>
  <c r="R37" i="1" s="1"/>
  <c r="T37" i="1" s="1"/>
  <c r="W2" i="1"/>
  <c r="W11" i="1"/>
  <c r="P45" i="1"/>
  <c r="R45" i="1" s="1"/>
  <c r="T45" i="1" s="1"/>
  <c r="W6" i="1"/>
  <c r="W16" i="1"/>
  <c r="P42" i="1"/>
  <c r="R42" i="1" s="1"/>
  <c r="T42" i="1" s="1"/>
  <c r="P54" i="1"/>
  <c r="R54" i="1" s="1"/>
  <c r="T54" i="1" s="1"/>
  <c r="P24" i="1"/>
  <c r="R24" i="1" s="1"/>
  <c r="T24" i="1" s="1"/>
  <c r="W7" i="1"/>
  <c r="P30" i="1"/>
  <c r="R30" i="1" s="1"/>
  <c r="T30" i="1" s="1"/>
  <c r="P40" i="1"/>
  <c r="R40" i="1" s="1"/>
  <c r="T40" i="1" s="1"/>
  <c r="P43" i="1"/>
  <c r="R43" i="1" s="1"/>
  <c r="T43" i="1" s="1"/>
  <c r="P63" i="1"/>
  <c r="R63" i="1" s="1"/>
  <c r="T63" i="1" s="1"/>
  <c r="W8" i="1"/>
  <c r="P34" i="1"/>
  <c r="R34" i="1" s="1"/>
  <c r="T34" i="1" s="1"/>
  <c r="P39" i="1"/>
  <c r="R39" i="1" s="1"/>
  <c r="T39" i="1" s="1"/>
  <c r="P21" i="1"/>
  <c r="R21" i="1" s="1"/>
  <c r="T21" i="1" s="1"/>
  <c r="P52" i="1"/>
  <c r="R52" i="1" s="1"/>
  <c r="T52" i="1" s="1"/>
  <c r="P65" i="1"/>
  <c r="R65" i="1" s="1"/>
  <c r="T65" i="1" s="1"/>
  <c r="P44" i="1"/>
  <c r="R44" i="1" s="1"/>
  <c r="T44" i="1" s="1"/>
  <c r="W3" i="1"/>
  <c r="W12" i="1"/>
  <c r="W4" i="1"/>
  <c r="W15" i="1"/>
  <c r="P68" i="1"/>
  <c r="R68" i="1" s="1"/>
  <c r="T68" i="1" s="1"/>
  <c r="G69" i="1"/>
  <c r="K69" i="1" s="1"/>
  <c r="P69" i="1"/>
  <c r="R69" i="1" s="1"/>
  <c r="T69" i="1" s="1"/>
  <c r="G66" i="1"/>
  <c r="D16" i="1"/>
  <c r="D19" i="1" s="1"/>
  <c r="D15" i="1"/>
  <c r="C19" i="1" s="1"/>
  <c r="P66" i="1"/>
  <c r="R66" i="1" s="1"/>
  <c r="T66" i="1" s="1"/>
  <c r="P67" i="1"/>
  <c r="R67" i="1" s="1"/>
  <c r="T67" i="1" s="1"/>
  <c r="W5" i="1"/>
  <c r="W13" i="1"/>
  <c r="C11" i="1"/>
  <c r="C12" i="1"/>
  <c r="O70" i="1" l="1"/>
  <c r="E14" i="1"/>
  <c r="O68" i="1"/>
  <c r="O69" i="1"/>
  <c r="O66" i="1"/>
  <c r="O67" i="1"/>
  <c r="O56" i="1"/>
  <c r="O35" i="1"/>
  <c r="O54" i="1"/>
  <c r="O48" i="1"/>
  <c r="O58" i="1"/>
  <c r="O49" i="1"/>
  <c r="O40" i="1"/>
  <c r="O30" i="1"/>
  <c r="O64" i="1"/>
  <c r="O50" i="1"/>
  <c r="O37" i="1"/>
  <c r="O34" i="1"/>
  <c r="O55" i="1"/>
  <c r="O46" i="1"/>
  <c r="O63" i="1"/>
  <c r="O45" i="1"/>
  <c r="O43" i="1"/>
  <c r="O41" i="1"/>
  <c r="O53" i="1"/>
  <c r="O44" i="1"/>
  <c r="O38" i="1"/>
  <c r="C15" i="1"/>
  <c r="C18" i="1" s="1"/>
  <c r="O32" i="1"/>
  <c r="O51" i="1"/>
  <c r="O42" i="1"/>
  <c r="O52" i="1"/>
  <c r="O36" i="1"/>
  <c r="O62" i="1"/>
  <c r="O60" i="1"/>
  <c r="O59" i="1"/>
  <c r="O31" i="1"/>
  <c r="O47" i="1"/>
  <c r="O65" i="1"/>
  <c r="O57" i="1"/>
  <c r="O33" i="1"/>
  <c r="O39" i="1"/>
  <c r="O61" i="1"/>
  <c r="C16" i="1"/>
  <c r="D18" i="1" s="1"/>
  <c r="K66" i="1"/>
  <c r="F18" i="1" l="1"/>
  <c r="F19" i="1" s="1"/>
</calcChain>
</file>

<file path=xl/sharedStrings.xml><?xml version="1.0" encoding="utf-8"?>
<sst xmlns="http://schemas.openxmlformats.org/spreadsheetml/2006/main" count="482" uniqueCount="259">
  <si>
    <t>IBVS 6244</t>
  </si>
  <si>
    <t>IBVS 6196</t>
  </si>
  <si>
    <t>OEJV 0181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</si>
  <si>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</si>
  <si>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</si>
  <si>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</si>
  <si>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</si>
  <si>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</si>
  <si>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</si>
  <si>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</si>
  <si>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</si>
  <si>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</si>
  <si>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</si>
  <si>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</si>
  <si>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</si>
  <si>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</si>
  <si>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</si>
  <si>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</si>
  <si>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</si>
  <si>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</si>
  <si>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</si>
  <si>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</si>
  <si>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</si>
  <si>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</si>
  <si>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</si>
  <si>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</si>
  <si>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</si>
  <si>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</si>
  <si>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</si>
  <si>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</si>
  <si>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</si>
  <si>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</si>
  <si>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</si>
  <si>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</si>
  <si>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</si>
  <si>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</si>
  <si>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</si>
  <si>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</si>
  <si>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FN Cam / GSC 4541-0948               </t>
  </si>
  <si>
    <t>EW</t>
  </si>
  <si>
    <t>IBVS 5341</t>
  </si>
  <si>
    <t>IBVS 5623</t>
  </si>
  <si>
    <t>II</t>
  </si>
  <si>
    <t>IBVS 5731</t>
  </si>
  <si>
    <t>IBVS 5898</t>
  </si>
  <si>
    <t>IBVS 5938</t>
  </si>
  <si>
    <t>IBVS 5980</t>
  </si>
  <si>
    <t>IBVS 5974</t>
  </si>
  <si>
    <t>Add cycle</t>
  </si>
  <si>
    <t>Old Cycle</t>
  </si>
  <si>
    <t>IBVS 5258</t>
  </si>
  <si>
    <t>IBVS 6010</t>
  </si>
  <si>
    <t>IBVS 6044</t>
  </si>
  <si>
    <t>IBVS 6070</t>
  </si>
  <si>
    <t>IBVS 6084</t>
  </si>
  <si>
    <t>IBVS 6092</t>
  </si>
  <si>
    <t>IBVS 6095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</si>
  <si>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</si>
  <si>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</si>
  <si>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</si>
  <si>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</si>
  <si>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</si>
  <si>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</si>
  <si>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</si>
  <si>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</si>
  <si>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</si>
  <si>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</si>
  <si>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</si>
  <si>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</si>
  <si>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2451572.574 </t>
  </si>
  <si>
    <t> 29.01.2000 01:46 </t>
  </si>
  <si>
    <t> 0.004 </t>
  </si>
  <si>
    <t>V </t>
  </si>
  <si>
    <t> K.Tikkanen </t>
  </si>
  <si>
    <t> BBS 124 </t>
  </si>
  <si>
    <t>2451578.319 </t>
  </si>
  <si>
    <t> 03.02.2000 19:39 </t>
  </si>
  <si>
    <t> -0.007 </t>
  </si>
  <si>
    <t>2452292.3670 </t>
  </si>
  <si>
    <t> 17.01.2002 20:48 </t>
  </si>
  <si>
    <t> 0.0014 </t>
  </si>
  <si>
    <t>E </t>
  </si>
  <si>
    <t>?</t>
  </si>
  <si>
    <t> T.Pribulla et al. </t>
  </si>
  <si>
    <t>IBVS 5258 </t>
  </si>
  <si>
    <t>2452304.5563 </t>
  </si>
  <si>
    <t> 30.01.2002 01:21 </t>
  </si>
  <si>
    <t> 0.0022 </t>
  </si>
  <si>
    <t>2452307.2611 </t>
  </si>
  <si>
    <t> 01.02.2002 18:15 </t>
  </si>
  <si>
    <t> -0.0015 </t>
  </si>
  <si>
    <t>2452310.3107 </t>
  </si>
  <si>
    <t> 04.02.2002 19:27 </t>
  </si>
  <si>
    <t> 0.0009 </t>
  </si>
  <si>
    <t>2452445.3947 </t>
  </si>
  <si>
    <t> 19.06.2002 21:28 </t>
  </si>
  <si>
    <t> -0.0037 </t>
  </si>
  <si>
    <t>IBVS 5341 </t>
  </si>
  <si>
    <t>2453056.5149 </t>
  </si>
  <si>
    <t> 21.02.2004 00:21 </t>
  </si>
  <si>
    <t> 0.0013 </t>
  </si>
  <si>
    <t> M.Drozdz et al. </t>
  </si>
  <si>
    <t>IBVS 5623 </t>
  </si>
  <si>
    <t>2453846.3928 </t>
  </si>
  <si>
    <t> 20.04.2006 21:25 </t>
  </si>
  <si>
    <t> 0.0000 </t>
  </si>
  <si>
    <t>C </t>
  </si>
  <si>
    <t>-I</t>
  </si>
  <si>
    <t> F.Agerer </t>
  </si>
  <si>
    <t>BAVM 178 </t>
  </si>
  <si>
    <t>2454500.5055 </t>
  </si>
  <si>
    <t> 04.02.2008 00:07 </t>
  </si>
  <si>
    <t>2954</t>
  </si>
  <si>
    <t> -0.0006 </t>
  </si>
  <si>
    <t>o</t>
  </si>
  <si>
    <t> S.Parimucha et al. </t>
  </si>
  <si>
    <t>IBVS 5898 </t>
  </si>
  <si>
    <t>2454895.6165 </t>
  </si>
  <si>
    <t> 05.03.2009 02:47 </t>
  </si>
  <si>
    <t>3537.5</t>
  </si>
  <si>
    <t> 0.0015 </t>
  </si>
  <si>
    <t> S.Dvorak </t>
  </si>
  <si>
    <t>IBVS 5938 </t>
  </si>
  <si>
    <t>2455264.3190 </t>
  </si>
  <si>
    <t> 08.03.2010 19:39 </t>
  </si>
  <si>
    <t>4082</t>
  </si>
  <si>
    <t> 0.0034 </t>
  </si>
  <si>
    <t>R</t>
  </si>
  <si>
    <t>IBVS 5980 </t>
  </si>
  <si>
    <t>2455287.6797 </t>
  </si>
  <si>
    <t> 01.04.2010 04:18 </t>
  </si>
  <si>
    <t>4116.5</t>
  </si>
  <si>
    <t> 0.0030 </t>
  </si>
  <si>
    <t>IBVS 5974 </t>
  </si>
  <si>
    <t>2455294.4514 </t>
  </si>
  <si>
    <t> 07.04.2010 22:50 </t>
  </si>
  <si>
    <t>4126.5</t>
  </si>
  <si>
    <t> 0.0033 </t>
  </si>
  <si>
    <t>2455474.5673 </t>
  </si>
  <si>
    <t> 05.10.2010 01:36 </t>
  </si>
  <si>
    <t>4392.5</t>
  </si>
  <si>
    <t> 0.0010 </t>
  </si>
  <si>
    <t>2455622.5246 </t>
  </si>
  <si>
    <t> 02.03.2011 00:35 </t>
  </si>
  <si>
    <t>4611</t>
  </si>
  <si>
    <t> 0.0041 </t>
  </si>
  <si>
    <t> M.&amp; K.Rätz </t>
  </si>
  <si>
    <t>BAVM 225 </t>
  </si>
  <si>
    <t>2455654.3513 </t>
  </si>
  <si>
    <t> 02.04.2011 20:25 </t>
  </si>
  <si>
    <t>4658</t>
  </si>
  <si>
    <t> 0.0054 </t>
  </si>
  <si>
    <t>BAVM 220 </t>
  </si>
  <si>
    <t>2455677.3724 </t>
  </si>
  <si>
    <t> 25.04.2011 20:56 </t>
  </si>
  <si>
    <t>4692</t>
  </si>
  <si>
    <t> 0.0039 </t>
  </si>
  <si>
    <t> K.Kasai </t>
  </si>
  <si>
    <t>VSB 53 </t>
  </si>
  <si>
    <t>2455929.6065 </t>
  </si>
  <si>
    <t> 03.01.2012 02:33 </t>
  </si>
  <si>
    <t>5064.5</t>
  </si>
  <si>
    <t> 0.0048 </t>
  </si>
  <si>
    <t>B;V</t>
  </si>
  <si>
    <t> A.Liakos et al. </t>
  </si>
  <si>
    <t>IBVS 6095 </t>
  </si>
  <si>
    <t>2455930.2817 </t>
  </si>
  <si>
    <t> 03.01.2012 18:45 </t>
  </si>
  <si>
    <t>5065.5</t>
  </si>
  <si>
    <t> 0.0029 </t>
  </si>
  <si>
    <t>2455930.6240 </t>
  </si>
  <si>
    <t> 04.01.2012 02:58 </t>
  </si>
  <si>
    <t>5066</t>
  </si>
  <si>
    <t> 0.0066 </t>
  </si>
  <si>
    <t>2455934.0083 </t>
  </si>
  <si>
    <t> 07.01.2012 12:11 </t>
  </si>
  <si>
    <t>5071</t>
  </si>
  <si>
    <t> 0.0052 </t>
  </si>
  <si>
    <t>Rc</t>
  </si>
  <si>
    <t> K.Shiokawa </t>
  </si>
  <si>
    <t>VSB 55 </t>
  </si>
  <si>
    <t>2455935.0225 </t>
  </si>
  <si>
    <t> 08.01.2012 12:32 </t>
  </si>
  <si>
    <t>5072.5</t>
  </si>
  <si>
    <t> 0.0037 </t>
  </si>
  <si>
    <t>2455935.3622 </t>
  </si>
  <si>
    <t> 08.01.2012 20:41 </t>
  </si>
  <si>
    <t>5073</t>
  </si>
  <si>
    <t> 0.0049 </t>
  </si>
  <si>
    <t>2455935.3642 </t>
  </si>
  <si>
    <t> 08.01.2012 20:44 </t>
  </si>
  <si>
    <t> 0.0069 </t>
  </si>
  <si>
    <t>2455995.2896 </t>
  </si>
  <si>
    <t> 08.03.2012 18:57 </t>
  </si>
  <si>
    <t>5161.5</t>
  </si>
  <si>
    <t> 0.0057 </t>
  </si>
  <si>
    <t>IBVS 6044 </t>
  </si>
  <si>
    <t>2456010.5265 </t>
  </si>
  <si>
    <t> 24.03.2012 00:38 </t>
  </si>
  <si>
    <t>5184</t>
  </si>
  <si>
    <t> 0.0071 </t>
  </si>
  <si>
    <t>BAVM 231 </t>
  </si>
  <si>
    <t>2456304.7418 </t>
  </si>
  <si>
    <t> 12.01.2013 05:48 </t>
  </si>
  <si>
    <t>5618.5</t>
  </si>
  <si>
    <t> 0.0068 </t>
  </si>
  <si>
    <t> R.Nelson </t>
  </si>
  <si>
    <t>IBVS 6092 </t>
  </si>
  <si>
    <t>2456374.4861 </t>
  </si>
  <si>
    <t> 22.03.2013 23:39 </t>
  </si>
  <si>
    <t>5721.5</t>
  </si>
  <si>
    <t> 0.0061 </t>
  </si>
  <si>
    <t>BAVM 232 </t>
  </si>
  <si>
    <t>2456649.0723 </t>
  </si>
  <si>
    <t> 22.12.2013 13:44 </t>
  </si>
  <si>
    <t>6127</t>
  </si>
  <si>
    <t> 0.0136 </t>
  </si>
  <si>
    <t> S.Kiyota </t>
  </si>
  <si>
    <t>VSB 56 </t>
  </si>
  <si>
    <t>2456731.3381 </t>
  </si>
  <si>
    <t> 14.03.2014 20:06 </t>
  </si>
  <si>
    <t>6248.5</t>
  </si>
  <si>
    <t> 0.0074 </t>
  </si>
  <si>
    <t>BAVM 238 </t>
  </si>
  <si>
    <t>2456734.3871 </t>
  </si>
  <si>
    <t> 17.03.2014 21:17 </t>
  </si>
  <si>
    <t>6253</t>
  </si>
  <si>
    <t> 0.0093 </t>
  </si>
  <si>
    <t>2456737.4312 </t>
  </si>
  <si>
    <t> 20.03.2014 22:20 </t>
  </si>
  <si>
    <t>6257.5</t>
  </si>
  <si>
    <t> 0.0063 </t>
  </si>
  <si>
    <t>2456744.5443 </t>
  </si>
  <si>
    <t> 28.03.2014 01:03 </t>
  </si>
  <si>
    <t>6268</t>
  </si>
  <si>
    <t> 0.0095 </t>
  </si>
  <si>
    <t>2456745.5578 </t>
  </si>
  <si>
    <t> 29.03.2014 01:23 </t>
  </si>
  <si>
    <t>6269.5</t>
  </si>
  <si>
    <t> 0.0072 </t>
  </si>
  <si>
    <t>2457091.577 </t>
  </si>
  <si>
    <t> 10.03.2015 01:50 </t>
  </si>
  <si>
    <t>6780.5</t>
  </si>
  <si>
    <t> 0.010 </t>
  </si>
  <si>
    <t>BAVM 241 (=IBVS 6157) </t>
  </si>
  <si>
    <t>IBVS 6154</t>
  </si>
  <si>
    <t>IBVS 6157</t>
  </si>
  <si>
    <t>IBVS 6225</t>
  </si>
  <si>
    <t>RHN 2019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</si>
  <si>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</si>
  <si>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</si>
  <si>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</si>
  <si>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</si>
  <si>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</si>
  <si>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</si>
  <si>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JBAV, 60</t>
  </si>
  <si>
    <t>VSB, 91</t>
  </si>
  <si>
    <t>cG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</si>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</sst>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47" fillId="0" borderId="0" applyFon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18" xfId="0" applyBorder="1">
      <alignment vertical="top"/>
    </xf>
    <xf numFmtId="0" fontId="0" fillId="0" borderId="19" xfId="0" applyBorder="1">
      <alignment vertical="top"/>
    </xf>
    <xf numFmtId="11" fontId="0" fillId="0" borderId="0" xfId="0" applyNumberFormat="1">
      <alignment vertical="top"/>
    </xf>
    <xf numFmtId="0" fontId="0" fillId="0" borderId="20" xfId="0" applyBorder="1">
      <alignment vertical="top"/>
    </xf>
    <xf numFmtId="0" fontId="0" fillId="0" borderId="21" xfId="0" applyBorder="1">
      <alignment vertical="top"/>
    </xf>
    <xf numFmtId="0" fontId="0" fillId="0" borderId="22" xfId="0" applyBorder="1">
      <alignment vertical="top"/>
    </xf>
    <xf numFmtId="0" fontId="0" fillId="0" borderId="23" xfId="0" applyBorder="1">
      <alignment vertical="top"/>
    </xf>
    <xf numFmtId="0" fontId="0" fillId="0" borderId="24" xfId="0" applyBorder="1">
      <alignment vertical="top"/>
    </xf>
    <xf numFmtId="0" fontId="12" fillId="0" borderId="8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14" fontId="6" fillId="0" borderId="0" xfId="0" applyNumberFormat="1" applyFont="1">
      <alignment vertical="top"/>
    </xf>
    <xf numFmtId="0" fontId="6" fillId="0" borderId="0" xfId="0" applyFont="1">
      <alignment vertical="top"/>
    </xf>
    <xf numFmtId="0" fontId="44" fillId="0" borderId="0" xfId="0" applyFont="1">
      <alignment vertical="top"/>
    </xf>
    <xf numFmtId="0" fontId="45" fillId="0" borderId="0" xfId="0" applyFont="1">
      <alignment vertical="top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vertical="center" wrapText="1"/>
    </xf>
    <xf numFmtId="43" fontId="46" fillId="0" borderId="0" xfId="48" applyFont="1" applyBorder="1"/>
    <xf numFmtId="165" fontId="46" fillId="0" borderId="0" xfId="0" applyNumberFormat="1" applyFont="1" applyAlignment="1" applyProtection="1">
      <alignment vertical="center" wrapText="1"/>
      <protection locked="0"/>
    </xf>
    <xf numFmtId="165" fontId="0" fillId="0" borderId="0" xfId="0" applyNumberForma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Cam - O-C Diagr.</a:t>
            </a:r>
          </a:p>
        </c:rich>
      </c:tx>
      <c:layout>
        <c:manualLayout>
          <c:xMode val="edge"/>
          <c:yMode val="edge"/>
          <c:x val="0.3819548872180451"/>
          <c:y val="3.5087590795336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11069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81-4B7A-9ADB-A0A5829879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11069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3.9199999955599196E-3</c:v>
                </c:pt>
                <c:pt idx="1">
                  <c:v>-6.7360000030021183E-3</c:v>
                </c:pt>
                <c:pt idx="42">
                  <c:v>1.3736000000790227E-2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81-4B7A-9ADB-A0A5829879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11069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1.3519999920390546E-3</c:v>
                </c:pt>
                <c:pt idx="3">
                  <c:v>2.2039999894332141E-3</c:v>
                </c:pt>
                <c:pt idx="4">
                  <c:v>-1.5399999974761158E-3</c:v>
                </c:pt>
                <c:pt idx="5">
                  <c:v>9.4800000078976154E-4</c:v>
                </c:pt>
                <c:pt idx="6">
                  <c:v>-3.6840000029769726E-3</c:v>
                </c:pt>
                <c:pt idx="8">
                  <c:v>1.2759999954141676E-3</c:v>
                </c:pt>
                <c:pt idx="9">
                  <c:v>3.199999628122896E-5</c:v>
                </c:pt>
                <c:pt idx="17">
                  <c:v>5.411999998614192E-3</c:v>
                </c:pt>
                <c:pt idx="27">
                  <c:v>7.0759999944129959E-3</c:v>
                </c:pt>
                <c:pt idx="32">
                  <c:v>6.0759999978472479E-3</c:v>
                </c:pt>
                <c:pt idx="34">
                  <c:v>7.4039999963133596E-3</c:v>
                </c:pt>
                <c:pt idx="35">
                  <c:v>9.2919999951845966E-3</c:v>
                </c:pt>
                <c:pt idx="36">
                  <c:v>6.2799999941489659E-3</c:v>
                </c:pt>
                <c:pt idx="37">
                  <c:v>9.4519999984186143E-3</c:v>
                </c:pt>
                <c:pt idx="38">
                  <c:v>7.2480000017094426E-3</c:v>
                </c:pt>
                <c:pt idx="39">
                  <c:v>9.9519999930635095E-3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81-4B7A-9ADB-A0A5829879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11069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7">
                  <c:v>0</c:v>
                </c:pt>
                <c:pt idx="10">
                  <c:v>-6.4400000701425597E-4</c:v>
                </c:pt>
                <c:pt idx="11">
                  <c:v>1.4999999912106432E-3</c:v>
                </c:pt>
                <c:pt idx="12">
                  <c:v>3.448000003118068E-3</c:v>
                </c:pt>
                <c:pt idx="13">
                  <c:v>2.9559999966295436E-3</c:v>
                </c:pt>
                <c:pt idx="14">
                  <c:v>3.2959999953163788E-3</c:v>
                </c:pt>
                <c:pt idx="15">
                  <c:v>1.0199999960605055E-3</c:v>
                </c:pt>
                <c:pt idx="16">
                  <c:v>4.1039999923668802E-3</c:v>
                </c:pt>
                <c:pt idx="18">
                  <c:v>3.8879999992786907E-3</c:v>
                </c:pt>
                <c:pt idx="19">
                  <c:v>4.8279999973601662E-3</c:v>
                </c:pt>
                <c:pt idx="20">
                  <c:v>2.8919999967911281E-3</c:v>
                </c:pt>
                <c:pt idx="21">
                  <c:v>6.6240000014659017E-3</c:v>
                </c:pt>
                <c:pt idx="22">
                  <c:v>5.2439999999478459E-3</c:v>
                </c:pt>
                <c:pt idx="23">
                  <c:v>3.7399999928311445E-3</c:v>
                </c:pt>
                <c:pt idx="24">
                  <c:v>4.8719999977038242E-3</c:v>
                </c:pt>
                <c:pt idx="25">
                  <c:v>6.8719999981112778E-3</c:v>
                </c:pt>
                <c:pt idx="26">
                  <c:v>5.7359999918844551E-3</c:v>
                </c:pt>
                <c:pt idx="29">
                  <c:v>9.6319999938714318E-3</c:v>
                </c:pt>
                <c:pt idx="30">
                  <c:v>6.7839999974239618E-3</c:v>
                </c:pt>
                <c:pt idx="31">
                  <c:v>6.7839999974239618E-3</c:v>
                </c:pt>
                <c:pt idx="33">
                  <c:v>1.3627999993332196E-2</c:v>
                </c:pt>
                <c:pt idx="40">
                  <c:v>1.2155999997048639E-2</c:v>
                </c:pt>
                <c:pt idx="41">
                  <c:v>1.1500000000523869E-2</c:v>
                </c:pt>
                <c:pt idx="43">
                  <c:v>1.413999999203952E-2</c:v>
                </c:pt>
                <c:pt idx="44">
                  <c:v>2.1992000001773704E-2</c:v>
                </c:pt>
                <c:pt idx="45">
                  <c:v>2.8667999991739634E-2</c:v>
                </c:pt>
                <c:pt idx="46">
                  <c:v>2.4299999997310806E-2</c:v>
                </c:pt>
                <c:pt idx="47">
                  <c:v>2.3860000001150183E-2</c:v>
                </c:pt>
                <c:pt idx="48">
                  <c:v>2.912800000194693E-2</c:v>
                </c:pt>
                <c:pt idx="49">
                  <c:v>2.9116000114299823E-2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81-4B7A-9ADB-A0A5829879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11069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81-4B7A-9ADB-A0A5829879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11069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81-4B7A-9ADB-A0A5829879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11069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81-4B7A-9ADB-A0A5829879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11069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9">
                  <c:v>-1.3370459374026753E-2</c:v>
                </c:pt>
                <c:pt idx="10">
                  <c:v>-8.6716484399359823E-3</c:v>
                </c:pt>
                <c:pt idx="11">
                  <c:v>-5.8333915247786687E-3</c:v>
                </c:pt>
                <c:pt idx="12">
                  <c:v>-3.1848381566498656E-3</c:v>
                </c:pt>
                <c:pt idx="13">
                  <c:v>-3.0170234804323404E-3</c:v>
                </c:pt>
                <c:pt idx="14">
                  <c:v>-2.9683815452968242E-3</c:v>
                </c:pt>
                <c:pt idx="15">
                  <c:v>-1.674506070692118E-3</c:v>
                </c:pt>
                <c:pt idx="16">
                  <c:v>-6.1167978798111131E-4</c:v>
                </c:pt>
                <c:pt idx="17">
                  <c:v>-3.8306269284419173E-4</c:v>
                </c:pt>
                <c:pt idx="18">
                  <c:v>-2.176801133834394E-4</c:v>
                </c:pt>
                <c:pt idx="19">
                  <c:v>1.5942319704145037E-3</c:v>
                </c:pt>
                <c:pt idx="20">
                  <c:v>1.5990961639280529E-3</c:v>
                </c:pt>
                <c:pt idx="21">
                  <c:v>1.6015282606848293E-3</c:v>
                </c:pt>
                <c:pt idx="22">
                  <c:v>1.6258492282525891E-3</c:v>
                </c:pt>
                <c:pt idx="23">
                  <c:v>1.6331455185229146E-3</c:v>
                </c:pt>
                <c:pt idx="24">
                  <c:v>1.6355776152796909E-3</c:v>
                </c:pt>
                <c:pt idx="25">
                  <c:v>1.6355776152796909E-3</c:v>
                </c:pt>
                <c:pt idx="26">
                  <c:v>2.0660587412290009E-3</c:v>
                </c:pt>
                <c:pt idx="27">
                  <c:v>2.175503095283908E-3</c:v>
                </c:pt>
                <c:pt idx="28">
                  <c:v>2.7202927688016812E-3</c:v>
                </c:pt>
                <c:pt idx="29">
                  <c:v>2.7421816396126612E-3</c:v>
                </c:pt>
                <c:pt idx="30">
                  <c:v>4.2889951769220468E-3</c:v>
                </c:pt>
                <c:pt idx="31">
                  <c:v>4.2889951769220468E-3</c:v>
                </c:pt>
                <c:pt idx="32">
                  <c:v>4.7900071088178529E-3</c:v>
                </c:pt>
                <c:pt idx="33">
                  <c:v>6.7624375785629957E-3</c:v>
                </c:pt>
                <c:pt idx="34">
                  <c:v>7.3534370904595053E-3</c:v>
                </c:pt>
                <c:pt idx="35">
                  <c:v>7.3753259612704854E-3</c:v>
                </c:pt>
                <c:pt idx="36">
                  <c:v>7.3972148320814689E-3</c:v>
                </c:pt>
                <c:pt idx="37">
                  <c:v>7.4482888639737579E-3</c:v>
                </c:pt>
                <c:pt idx="38">
                  <c:v>7.4555851542440869E-3</c:v>
                </c:pt>
                <c:pt idx="39">
                  <c:v>9.9411880396689106E-3</c:v>
                </c:pt>
                <c:pt idx="40">
                  <c:v>1.1818766735899801E-2</c:v>
                </c:pt>
                <c:pt idx="41">
                  <c:v>1.2224926894281354E-2</c:v>
                </c:pt>
                <c:pt idx="42">
                  <c:v>1.2828086889961739E-2</c:v>
                </c:pt>
                <c:pt idx="43">
                  <c:v>1.5313689775386566E-2</c:v>
                </c:pt>
                <c:pt idx="44">
                  <c:v>2.3001547623554747E-2</c:v>
                </c:pt>
                <c:pt idx="45">
                  <c:v>2.5599026959791264E-2</c:v>
                </c:pt>
                <c:pt idx="46">
                  <c:v>2.5601459056548037E-2</c:v>
                </c:pt>
                <c:pt idx="47">
                  <c:v>2.5613619540331915E-2</c:v>
                </c:pt>
                <c:pt idx="48">
                  <c:v>2.5793594700333322E-2</c:v>
                </c:pt>
                <c:pt idx="49">
                  <c:v>3.0801281922534611E-2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81-4B7A-9ADB-A0A5829879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11069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28">
                  <c:v>1.8043999996734783E-2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81-4B7A-9ADB-A0A582987971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1.7250215404746637E-3</c:v>
                </c:pt>
                <c:pt idx="1">
                  <c:v>4.386655961016602E-4</c:v>
                </c:pt>
                <c:pt idx="2">
                  <c:v>-3.5221479621095562E-4</c:v>
                </c:pt>
                <c:pt idx="3">
                  <c:v>-6.476196364631838E-4</c:v>
                </c:pt>
                <c:pt idx="4">
                  <c:v>-4.4754892465502424E-4</c:v>
                </c:pt>
                <c:pt idx="5">
                  <c:v>2.4799733921352317E-4</c:v>
                </c:pt>
                <c:pt idx="6">
                  <c:v>1.4390191551424581E-3</c:v>
                </c:pt>
                <c:pt idx="7">
                  <c:v>3.125516523131781E-3</c:v>
                </c:pt>
                <c:pt idx="8">
                  <c:v>5.3074894431814918E-3</c:v>
                </c:pt>
                <c:pt idx="9">
                  <c:v>7.98493791529159E-3</c:v>
                </c:pt>
                <c:pt idx="10">
                  <c:v>1.1157861939462076E-2</c:v>
                </c:pt>
                <c:pt idx="11">
                  <c:v>1.482626151569295E-2</c:v>
                </c:pt>
                <c:pt idx="12">
                  <c:v>1.8990136643984211E-2</c:v>
                </c:pt>
                <c:pt idx="13">
                  <c:v>2.3649487324335861E-2</c:v>
                </c:pt>
                <c:pt idx="14">
                  <c:v>2.8804313556747899E-2</c:v>
                </c:pt>
                <c:pt idx="15">
                  <c:v>3.4454615341220317E-2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81-4B7A-9ADB-A0A58298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097992"/>
        <c:axId val="1"/>
      </c:scatterChart>
      <c:valAx>
        <c:axId val="697097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684210526315792"/>
              <c:y val="0.9186046511627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7497405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09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187969924812026E-2"/>
          <c:y val="0.92151162790697672"/>
          <c:w val="0.8105263157894736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ED0BDE8-97BB-8F71-0DFF-0E6C20D7F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980" TargetMode="External"/><Relationship Id="rId18" Type="http://schemas.openxmlformats.org/officeDocument/2006/relationships/hyperlink" Target="http://www.konkoly.hu/cgi-bin/IBVS?6095" TargetMode="External"/><Relationship Id="rId26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5258" TargetMode="External"/><Relationship Id="rId21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5623" TargetMode="External"/><Relationship Id="rId12" Type="http://schemas.openxmlformats.org/officeDocument/2006/relationships/hyperlink" Target="http://www.konkoly.hu/cgi-bin/IBVS?5974" TargetMode="External"/><Relationship Id="rId17" Type="http://schemas.openxmlformats.org/officeDocument/2006/relationships/hyperlink" Target="http://vsolj.cetus-net.org/vsoljno53.pdf" TargetMode="External"/><Relationship Id="rId25" Type="http://schemas.openxmlformats.org/officeDocument/2006/relationships/hyperlink" Target="http://www.konkoly.hu/cgi-bin/IBVS?6044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258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konkoly.hu/cgi-bin/IBVS?6095" TargetMode="External"/><Relationship Id="rId29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341" TargetMode="External"/><Relationship Id="rId11" Type="http://schemas.openxmlformats.org/officeDocument/2006/relationships/hyperlink" Target="http://www.konkoly.hu/cgi-bin/IBVS?5980" TargetMode="External"/><Relationship Id="rId24" Type="http://schemas.openxmlformats.org/officeDocument/2006/relationships/hyperlink" Target="http://www.konkoly.hu/cgi-bin/IBVS?6095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258" TargetMode="External"/><Relationship Id="rId15" Type="http://schemas.openxmlformats.org/officeDocument/2006/relationships/hyperlink" Target="http://www.bav-astro.de/sfs/BAVM_link.php?BAVMnr=225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konkoly.hu/cgi-bin/IBVS?5938" TargetMode="External"/><Relationship Id="rId19" Type="http://schemas.openxmlformats.org/officeDocument/2006/relationships/hyperlink" Target="http://www.konkoly.hu/cgi-bin/IBVS?6095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258" TargetMode="External"/><Relationship Id="rId9" Type="http://schemas.openxmlformats.org/officeDocument/2006/relationships/hyperlink" Target="http://www.konkoly.hu/cgi-bin/IBVS?5898" TargetMode="External"/><Relationship Id="rId14" Type="http://schemas.openxmlformats.org/officeDocument/2006/relationships/hyperlink" Target="http://www.konkoly.hu/cgi-bin/IBVS?5980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www.konkoly.hu/cgi-bin/IBVS?6092" TargetMode="External"/><Relationship Id="rId30" Type="http://schemas.openxmlformats.org/officeDocument/2006/relationships/hyperlink" Target="http://www.bav-astro.de/sfs/BAVM_link.php?BAVMnr=238" TargetMode="External"/><Relationship Id="rId35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3"/>
  <sheetViews>
    <sheetView tabSelected="1" workbookViewId="0">
      <pane xSplit="6" ySplit="20" topLeftCell="G57" activePane="bottomRight" state="frozen"/>
      <selection pane="topRight" activeCell="G1" sqref="G1"/>
      <selection pane="bottomLeft" activeCell="A21" sqref="A21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38</v>
      </c>
      <c r="V1" s="4" t="s">
        <v>11</v>
      </c>
      <c r="W1" s="6" t="s">
        <v>22</v>
      </c>
    </row>
    <row r="2" spans="1:23" x14ac:dyDescent="0.2">
      <c r="A2" t="s">
        <v>24</v>
      </c>
      <c r="B2" t="s">
        <v>39</v>
      </c>
      <c r="C2" s="3"/>
      <c r="D2" s="3"/>
      <c r="V2" s="85">
        <v>-3000</v>
      </c>
      <c r="W2" s="85">
        <f t="shared" ref="W2:W17" si="0">+D$11+D$12*V2+D$13*V2^2</f>
        <v>1.7250215404746637E-3</v>
      </c>
    </row>
    <row r="3" spans="1:23" ht="13.5" thickBot="1" x14ac:dyDescent="0.25">
      <c r="V3" s="85">
        <v>-2000</v>
      </c>
      <c r="W3" s="85">
        <f t="shared" si="0"/>
        <v>4.386655961016602E-4</v>
      </c>
    </row>
    <row r="4" spans="1:23" ht="14.25" thickTop="1" thickBot="1" x14ac:dyDescent="0.25">
      <c r="A4" s="5" t="s">
        <v>37</v>
      </c>
      <c r="C4" s="7">
        <v>52500.246400000004</v>
      </c>
      <c r="D4" s="8">
        <v>0.67713599999999996</v>
      </c>
      <c r="V4" s="85">
        <v>-1000</v>
      </c>
      <c r="W4" s="85">
        <f t="shared" si="0"/>
        <v>-3.5221479621095562E-4</v>
      </c>
    </row>
    <row r="5" spans="1:23" ht="13.5" thickTop="1" x14ac:dyDescent="0.2">
      <c r="A5" s="10" t="s">
        <v>29</v>
      </c>
      <c r="B5" s="11"/>
      <c r="C5" s="12">
        <v>-9.5</v>
      </c>
      <c r="D5" s="11" t="s">
        <v>30</v>
      </c>
      <c r="V5" s="85">
        <v>0</v>
      </c>
      <c r="W5" s="85">
        <f t="shared" si="0"/>
        <v>-6.476196364631838E-4</v>
      </c>
    </row>
    <row r="6" spans="1:23" x14ac:dyDescent="0.2">
      <c r="A6" s="5" t="s">
        <v>3</v>
      </c>
      <c r="V6" s="85">
        <v>1000</v>
      </c>
      <c r="W6" s="85">
        <f t="shared" si="0"/>
        <v>-4.4754892465502424E-4</v>
      </c>
    </row>
    <row r="7" spans="1:23" x14ac:dyDescent="0.2">
      <c r="A7" t="s">
        <v>4</v>
      </c>
      <c r="C7">
        <f>C4</f>
        <v>52500.246400000004</v>
      </c>
      <c r="V7" s="85">
        <v>2000</v>
      </c>
      <c r="W7" s="85">
        <f t="shared" si="0"/>
        <v>2.4799733921352317E-4</v>
      </c>
    </row>
    <row r="8" spans="1:23" x14ac:dyDescent="0.2">
      <c r="A8" t="s">
        <v>5</v>
      </c>
      <c r="C8">
        <f>D4</f>
        <v>0.67713599999999996</v>
      </c>
      <c r="D8" s="25"/>
      <c r="V8" s="85">
        <v>3000</v>
      </c>
      <c r="W8" s="85">
        <f t="shared" si="0"/>
        <v>1.4390191551424581E-3</v>
      </c>
    </row>
    <row r="9" spans="1:23" x14ac:dyDescent="0.2">
      <c r="A9" s="23" t="s">
        <v>34</v>
      </c>
      <c r="B9" s="24">
        <v>61</v>
      </c>
      <c r="C9" s="21" t="str">
        <f>"F"&amp;B9</f>
        <v>F61</v>
      </c>
      <c r="D9" s="22" t="str">
        <f>"G"&amp;B9</f>
        <v>G61</v>
      </c>
      <c r="V9" s="85">
        <v>4000</v>
      </c>
      <c r="W9" s="85">
        <f t="shared" si="0"/>
        <v>3.125516523131781E-3</v>
      </c>
    </row>
    <row r="10" spans="1:23" ht="13.5" thickBot="1" x14ac:dyDescent="0.25">
      <c r="A10" s="11"/>
      <c r="B10" s="11"/>
      <c r="C10" s="4" t="s">
        <v>20</v>
      </c>
      <c r="D10" s="4" t="s">
        <v>21</v>
      </c>
      <c r="E10" s="11"/>
      <c r="V10" s="85">
        <v>5000</v>
      </c>
      <c r="W10" s="85">
        <f t="shared" si="0"/>
        <v>5.3074894431814918E-3</v>
      </c>
    </row>
    <row r="11" spans="1:23" x14ac:dyDescent="0.2">
      <c r="A11" s="11" t="s">
        <v>16</v>
      </c>
      <c r="B11" s="11"/>
      <c r="C11" s="20">
        <f ca="1">INTERCEPT(INDIRECT($D$9):G975,INDIRECT($C$9):F975)</f>
        <v>-2.3040476078967177E-2</v>
      </c>
      <c r="D11" s="3">
        <f>+E11*F11</f>
        <v>-6.476196364631838E-4</v>
      </c>
      <c r="E11" s="73">
        <v>-6.476196364631838E-4</v>
      </c>
      <c r="F11" s="11">
        <v>1</v>
      </c>
      <c r="V11" s="85">
        <v>6000</v>
      </c>
      <c r="W11" s="85">
        <f t="shared" si="0"/>
        <v>7.98493791529159E-3</v>
      </c>
    </row>
    <row r="12" spans="1:23" x14ac:dyDescent="0.2">
      <c r="A12" s="11" t="s">
        <v>17</v>
      </c>
      <c r="B12" s="11"/>
      <c r="C12" s="20">
        <f ca="1">SLOPE(INDIRECT($D$9):G975,INDIRECT($C$9):F975)</f>
        <v>4.8641935135515214E-6</v>
      </c>
      <c r="D12" s="3">
        <f>+E12*F12</f>
        <v>-4.7667064222034275E-8</v>
      </c>
      <c r="E12" s="74">
        <v>-4.7667064222034272E-4</v>
      </c>
      <c r="F12" s="75">
        <v>1E-4</v>
      </c>
      <c r="V12" s="85">
        <v>7000</v>
      </c>
      <c r="W12" s="85">
        <f t="shared" si="0"/>
        <v>1.1157861939462076E-2</v>
      </c>
    </row>
    <row r="13" spans="1:23" ht="13.5" thickBot="1" x14ac:dyDescent="0.25">
      <c r="A13" s="11" t="s">
        <v>19</v>
      </c>
      <c r="B13" s="11"/>
      <c r="C13" s="3" t="s">
        <v>14</v>
      </c>
      <c r="D13" s="3">
        <f>+E13*F13</f>
        <v>2.4773777603019387E-10</v>
      </c>
      <c r="E13" s="76">
        <v>2.4773777603019387E-4</v>
      </c>
      <c r="F13" s="75">
        <v>9.9999999999999995E-7</v>
      </c>
      <c r="V13" s="85">
        <v>8000</v>
      </c>
      <c r="W13" s="85">
        <f t="shared" si="0"/>
        <v>1.482626151569295E-2</v>
      </c>
    </row>
    <row r="14" spans="1:23" x14ac:dyDescent="0.2">
      <c r="A14" s="11"/>
      <c r="B14" s="11"/>
      <c r="C14" s="11"/>
      <c r="D14" s="11"/>
      <c r="E14" s="11">
        <f>SUM(T21:T950)</f>
        <v>1.7228804867706549E-4</v>
      </c>
      <c r="F14" s="11"/>
      <c r="V14" s="85">
        <v>9000</v>
      </c>
      <c r="W14" s="85">
        <f t="shared" si="0"/>
        <v>1.8990136643984211E-2</v>
      </c>
    </row>
    <row r="15" spans="1:23" x14ac:dyDescent="0.2">
      <c r="A15" s="13" t="s">
        <v>18</v>
      </c>
      <c r="B15" s="11"/>
      <c r="C15" s="14">
        <f ca="1">(C7+C11)+(C8+C12)*INT(MAX(F21:F3516))</f>
        <v>59995.495585281926</v>
      </c>
      <c r="D15" s="87">
        <f>+C7+INT(MAX(F21:F1588))*C8+D11+D12*INT(MAX(F21:F4023))+D13*INT(MAX(F21:F4050)^2)</f>
        <v>59995.49396226996</v>
      </c>
      <c r="E15" s="15" t="s">
        <v>48</v>
      </c>
      <c r="F15" s="12">
        <v>1</v>
      </c>
      <c r="R15" t="s">
        <v>65</v>
      </c>
      <c r="S15">
        <v>0.2</v>
      </c>
      <c r="V15" s="85">
        <v>10000</v>
      </c>
      <c r="W15" s="85">
        <f t="shared" si="0"/>
        <v>2.3649487324335861E-2</v>
      </c>
    </row>
    <row r="16" spans="1:23" x14ac:dyDescent="0.2">
      <c r="A16" s="17" t="s">
        <v>6</v>
      </c>
      <c r="B16" s="11"/>
      <c r="C16" s="18">
        <f ca="1">+C8+C12</f>
        <v>0.67714086419351349</v>
      </c>
      <c r="D16" s="87">
        <f>+C8+D12+2*D13*MAX(F21:F896)</f>
        <v>0.67714143675182148</v>
      </c>
      <c r="E16" s="15" t="s">
        <v>31</v>
      </c>
      <c r="F16" s="16">
        <f ca="1">NOW()+15018.5+$C$5/24</f>
        <v>60170.578568749996</v>
      </c>
      <c r="R16" t="s">
        <v>68</v>
      </c>
      <c r="S16">
        <v>0.1</v>
      </c>
      <c r="V16" s="85">
        <v>11000</v>
      </c>
      <c r="W16" s="85">
        <f t="shared" si="0"/>
        <v>2.8804313556747899E-2</v>
      </c>
    </row>
    <row r="17" spans="1:23" ht="13.5" thickBot="1" x14ac:dyDescent="0.25">
      <c r="A17" s="15" t="s">
        <v>28</v>
      </c>
      <c r="B17" s="11"/>
      <c r="C17" s="11">
        <f>COUNT(C21:C2174)</f>
        <v>50</v>
      </c>
      <c r="E17" s="15" t="s">
        <v>49</v>
      </c>
      <c r="F17" s="16">
        <f ca="1">ROUND(2*(F16-$C$7)/$C$8,0)/2+F15</f>
        <v>11328.5</v>
      </c>
      <c r="R17" t="s">
        <v>62</v>
      </c>
      <c r="S17">
        <v>1</v>
      </c>
      <c r="V17" s="85">
        <v>12000</v>
      </c>
      <c r="W17" s="85">
        <f t="shared" si="0"/>
        <v>3.4454615341220317E-2</v>
      </c>
    </row>
    <row r="18" spans="1:23" ht="14.25" thickTop="1" thickBot="1" x14ac:dyDescent="0.25">
      <c r="A18" s="13" t="s">
        <v>249</v>
      </c>
      <c r="B18" s="11"/>
      <c r="C18" s="77">
        <f ca="1">+C15</f>
        <v>59995.495585281926</v>
      </c>
      <c r="D18" s="78">
        <f ca="1">C16</f>
        <v>0.67714086419351349</v>
      </c>
      <c r="E18" s="15" t="s">
        <v>32</v>
      </c>
      <c r="F18" s="22">
        <f ca="1">ROUND(2*(F16-$C$15)/$C$16,0)/2+F15</f>
        <v>259.5</v>
      </c>
      <c r="R18" t="s">
        <v>60</v>
      </c>
      <c r="S18">
        <v>1</v>
      </c>
    </row>
    <row r="19" spans="1:23" ht="13.5" thickBot="1" x14ac:dyDescent="0.25">
      <c r="A19" s="13" t="s">
        <v>250</v>
      </c>
      <c r="B19" s="11"/>
      <c r="C19" s="79">
        <f>+D15</f>
        <v>59995.49396226996</v>
      </c>
      <c r="D19" s="80">
        <f>+D16</f>
        <v>0.67714143675182148</v>
      </c>
      <c r="E19" s="15" t="s">
        <v>33</v>
      </c>
      <c r="F19" s="19">
        <f ca="1">+$C$15+$C$16*F18-15018.5-$C$5/24</f>
        <v>45153.109472873475</v>
      </c>
    </row>
    <row r="20" spans="1:23" ht="1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6" t="s">
        <v>65</v>
      </c>
      <c r="I20" s="6" t="s">
        <v>68</v>
      </c>
      <c r="J20" s="6" t="s">
        <v>62</v>
      </c>
      <c r="K20" s="6" t="s">
        <v>60</v>
      </c>
      <c r="L20" s="6" t="s">
        <v>25</v>
      </c>
      <c r="M20" s="6" t="s">
        <v>26</v>
      </c>
      <c r="N20" s="6" t="s">
        <v>27</v>
      </c>
      <c r="O20" s="6" t="s">
        <v>23</v>
      </c>
      <c r="P20" s="81" t="s">
        <v>22</v>
      </c>
      <c r="Q20" s="4" t="s">
        <v>15</v>
      </c>
      <c r="R20" s="82" t="s">
        <v>251</v>
      </c>
      <c r="S20" s="6" t="s">
        <v>252</v>
      </c>
      <c r="T20" s="82" t="s">
        <v>253</v>
      </c>
      <c r="U20" s="83" t="s">
        <v>254</v>
      </c>
    </row>
    <row r="21" spans="1:23" x14ac:dyDescent="0.2">
      <c r="A21" s="50" t="s">
        <v>74</v>
      </c>
      <c r="B21" s="51" t="s">
        <v>35</v>
      </c>
      <c r="C21" s="50">
        <v>51572.574000000001</v>
      </c>
      <c r="D21" s="50" t="s">
        <v>68</v>
      </c>
      <c r="E21">
        <f t="shared" ref="E21:E43" si="1">+(C21-C$7)/C$8</f>
        <v>-1369.9942109118451</v>
      </c>
      <c r="F21">
        <f t="shared" ref="F21:F43" si="2">ROUND(2*E21,0)/2</f>
        <v>-1370</v>
      </c>
      <c r="G21">
        <f t="shared" ref="G21:G43" si="3">+C21-(C$7+F21*C$8)</f>
        <v>3.9199999955599196E-3</v>
      </c>
      <c r="I21">
        <f>+G21</f>
        <v>3.9199999955599196E-3</v>
      </c>
      <c r="P21" s="15">
        <f>+D$11+D$12*F21+D$13*F21^2</f>
        <v>-1.1733672664792597E-4</v>
      </c>
      <c r="Q21" s="84">
        <f>+C21-15018.5</f>
        <v>36554.074000000001</v>
      </c>
      <c r="R21" s="85">
        <f>+(P21-G21)^2</f>
        <v>1.6300087808487989E-5</v>
      </c>
      <c r="S21" s="85">
        <f>S$16</f>
        <v>0.1</v>
      </c>
      <c r="T21" s="85">
        <f>+S21*R21</f>
        <v>1.6300087808487989E-6</v>
      </c>
      <c r="U21" s="86"/>
    </row>
    <row r="22" spans="1:23" x14ac:dyDescent="0.2">
      <c r="A22" s="50" t="s">
        <v>74</v>
      </c>
      <c r="B22" s="51" t="s">
        <v>42</v>
      </c>
      <c r="C22" s="50">
        <v>51578.319000000003</v>
      </c>
      <c r="D22" s="50" t="s">
        <v>68</v>
      </c>
      <c r="E22">
        <f t="shared" si="1"/>
        <v>-1361.5099477800627</v>
      </c>
      <c r="F22">
        <f t="shared" si="2"/>
        <v>-1361.5</v>
      </c>
      <c r="G22">
        <f t="shared" si="3"/>
        <v>-6.7360000030021183E-3</v>
      </c>
      <c r="I22">
        <f>+G22</f>
        <v>-6.7360000030021183E-3</v>
      </c>
      <c r="P22" s="15">
        <f t="shared" ref="P22:P65" si="4">+D$11+D$12*F22+D$13*F22^2</f>
        <v>-1.2349381044323831E-4</v>
      </c>
      <c r="Q22" s="2">
        <f t="shared" ref="Q22:Q43" si="5">+C22-15018.5</f>
        <v>36559.819000000003</v>
      </c>
      <c r="R22" s="85">
        <f t="shared" ref="R22:R65" si="6">+(P22-G22)^2</f>
        <v>4.3725238146629538E-5</v>
      </c>
      <c r="S22" s="85">
        <f>S$16</f>
        <v>0.1</v>
      </c>
      <c r="T22" s="85">
        <f t="shared" ref="T22:T65" si="7">+S22*R22</f>
        <v>4.3725238146629543E-6</v>
      </c>
    </row>
    <row r="23" spans="1:23" x14ac:dyDescent="0.2">
      <c r="A23" s="28" t="s">
        <v>50</v>
      </c>
      <c r="B23" s="29" t="s">
        <v>35</v>
      </c>
      <c r="C23" s="28">
        <v>52292.366999999998</v>
      </c>
      <c r="D23" s="28">
        <v>5.0000000000000001E-4</v>
      </c>
      <c r="E23">
        <f t="shared" si="1"/>
        <v>-306.99800335531603</v>
      </c>
      <c r="F23">
        <f t="shared" si="2"/>
        <v>-307</v>
      </c>
      <c r="G23">
        <f t="shared" si="3"/>
        <v>1.3519999920390546E-3</v>
      </c>
      <c r="J23">
        <f>+G23</f>
        <v>1.3519999920390546E-3</v>
      </c>
      <c r="P23" s="15">
        <f t="shared" si="4"/>
        <v>-6.0963681009394948E-4</v>
      </c>
      <c r="Q23" s="2">
        <f t="shared" si="5"/>
        <v>37273.866999999998</v>
      </c>
      <c r="R23" s="85">
        <f t="shared" si="6"/>
        <v>3.8480189434825988E-6</v>
      </c>
      <c r="S23">
        <f>S$17</f>
        <v>1</v>
      </c>
      <c r="T23" s="85">
        <f t="shared" si="7"/>
        <v>3.8480189434825988E-6</v>
      </c>
    </row>
    <row r="24" spans="1:23" x14ac:dyDescent="0.2">
      <c r="A24" s="28" t="s">
        <v>50</v>
      </c>
      <c r="B24" s="29" t="s">
        <v>35</v>
      </c>
      <c r="C24" s="28">
        <v>52304.556299999997</v>
      </c>
      <c r="D24" s="28">
        <v>2.0000000000000001E-4</v>
      </c>
      <c r="E24">
        <f t="shared" si="1"/>
        <v>-288.99674511472892</v>
      </c>
      <c r="F24">
        <f t="shared" si="2"/>
        <v>-289</v>
      </c>
      <c r="G24">
        <f t="shared" si="3"/>
        <v>2.2039999894332141E-3</v>
      </c>
      <c r="J24">
        <f>+G24</f>
        <v>2.2039999894332141E-3</v>
      </c>
      <c r="P24" s="15">
        <f t="shared" si="4"/>
        <v>-6.1315254811119808E-4</v>
      </c>
      <c r="Q24" s="2">
        <f t="shared" si="5"/>
        <v>37286.056299999997</v>
      </c>
      <c r="R24" s="85">
        <f t="shared" si="6"/>
        <v>7.9363484197929204E-6</v>
      </c>
      <c r="S24">
        <f>S$17</f>
        <v>1</v>
      </c>
      <c r="T24" s="85">
        <f t="shared" si="7"/>
        <v>7.9363484197929204E-6</v>
      </c>
    </row>
    <row r="25" spans="1:23" x14ac:dyDescent="0.2">
      <c r="A25" s="28" t="s">
        <v>50</v>
      </c>
      <c r="B25" s="29" t="s">
        <v>35</v>
      </c>
      <c r="C25" s="28">
        <v>52307.261100000003</v>
      </c>
      <c r="D25" s="28">
        <v>6.9999999999999999E-4</v>
      </c>
      <c r="E25">
        <f t="shared" si="1"/>
        <v>-285.00227428463455</v>
      </c>
      <c r="F25">
        <f t="shared" si="2"/>
        <v>-285</v>
      </c>
      <c r="G25">
        <f t="shared" si="3"/>
        <v>-1.5399999974761158E-3</v>
      </c>
      <c r="J25">
        <f>+G25</f>
        <v>-1.5399999974761158E-3</v>
      </c>
      <c r="P25" s="15">
        <f t="shared" si="4"/>
        <v>-6.1391202230185154E-4</v>
      </c>
      <c r="Q25" s="2">
        <f t="shared" si="5"/>
        <v>37288.761100000003</v>
      </c>
      <c r="R25" s="85">
        <f t="shared" si="6"/>
        <v>8.5763893776236878E-7</v>
      </c>
      <c r="S25">
        <f>S$17</f>
        <v>1</v>
      </c>
      <c r="T25" s="85">
        <f t="shared" si="7"/>
        <v>8.5763893776236878E-7</v>
      </c>
    </row>
    <row r="26" spans="1:23" x14ac:dyDescent="0.2">
      <c r="A26" s="28" t="s">
        <v>50</v>
      </c>
      <c r="B26" s="29" t="s">
        <v>42</v>
      </c>
      <c r="C26" s="28">
        <v>52310.310700000002</v>
      </c>
      <c r="D26" s="28">
        <v>2.9999999999999997E-4</v>
      </c>
      <c r="E26">
        <f t="shared" si="1"/>
        <v>-280.49859998582536</v>
      </c>
      <c r="F26">
        <f t="shared" si="2"/>
        <v>-280.5</v>
      </c>
      <c r="G26">
        <f t="shared" si="3"/>
        <v>9.4800000078976154E-4</v>
      </c>
      <c r="J26">
        <f>+G26</f>
        <v>9.4800000078976154E-4</v>
      </c>
      <c r="P26" s="15">
        <f t="shared" si="4"/>
        <v>-6.1475695479640356E-4</v>
      </c>
      <c r="Q26" s="2">
        <f t="shared" si="5"/>
        <v>37291.810700000002</v>
      </c>
      <c r="R26" s="85">
        <f t="shared" si="6"/>
        <v>2.4422093022329393E-6</v>
      </c>
      <c r="S26">
        <f>S$17</f>
        <v>1</v>
      </c>
      <c r="T26" s="85">
        <f t="shared" si="7"/>
        <v>2.4422093022329393E-6</v>
      </c>
    </row>
    <row r="27" spans="1:23" x14ac:dyDescent="0.2">
      <c r="A27" s="27" t="s">
        <v>40</v>
      </c>
      <c r="B27" s="26" t="s">
        <v>35</v>
      </c>
      <c r="C27" s="28">
        <v>52445.394699999997</v>
      </c>
      <c r="D27" s="28">
        <v>2.9999999999999997E-4</v>
      </c>
      <c r="E27">
        <f t="shared" si="1"/>
        <v>-81.005440561433062</v>
      </c>
      <c r="F27">
        <f t="shared" si="2"/>
        <v>-81</v>
      </c>
      <c r="G27">
        <f t="shared" si="3"/>
        <v>-3.6840000029769726E-3</v>
      </c>
      <c r="J27">
        <f>+G27</f>
        <v>-3.6840000029769726E-3</v>
      </c>
      <c r="P27" s="15">
        <f t="shared" si="4"/>
        <v>-6.4213319671266496E-4</v>
      </c>
      <c r="Q27" s="2">
        <f t="shared" si="5"/>
        <v>37426.894699999997</v>
      </c>
      <c r="R27" s="85">
        <f t="shared" si="6"/>
        <v>9.2529536670526193E-6</v>
      </c>
      <c r="S27">
        <f>S$17</f>
        <v>1</v>
      </c>
      <c r="T27" s="85">
        <f t="shared" si="7"/>
        <v>9.2529536670526193E-6</v>
      </c>
    </row>
    <row r="28" spans="1:23" x14ac:dyDescent="0.2">
      <c r="A28" s="27" t="s">
        <v>36</v>
      </c>
      <c r="B28" s="26" t="s">
        <v>35</v>
      </c>
      <c r="C28" s="27">
        <v>52500.246400000004</v>
      </c>
      <c r="D28" s="30"/>
      <c r="E28">
        <f t="shared" si="1"/>
        <v>0</v>
      </c>
      <c r="F28">
        <f t="shared" si="2"/>
        <v>0</v>
      </c>
      <c r="G28">
        <f t="shared" si="3"/>
        <v>0</v>
      </c>
      <c r="K28">
        <f>+G28</f>
        <v>0</v>
      </c>
      <c r="P28" s="15">
        <f t="shared" si="4"/>
        <v>-6.476196364631838E-4</v>
      </c>
      <c r="Q28" s="2">
        <f t="shared" si="5"/>
        <v>37481.746400000004</v>
      </c>
      <c r="R28" s="85">
        <f t="shared" si="6"/>
        <v>4.1941119353270633E-7</v>
      </c>
      <c r="S28">
        <f>S$18</f>
        <v>1</v>
      </c>
      <c r="T28" s="85">
        <f t="shared" si="7"/>
        <v>4.1941119353270633E-7</v>
      </c>
    </row>
    <row r="29" spans="1:23" x14ac:dyDescent="0.2">
      <c r="A29" s="27" t="s">
        <v>41</v>
      </c>
      <c r="B29" s="26" t="s">
        <v>42</v>
      </c>
      <c r="C29" s="27">
        <v>53056.514900000002</v>
      </c>
      <c r="D29" s="27">
        <v>2.0000000000000001E-4</v>
      </c>
      <c r="E29">
        <f t="shared" si="1"/>
        <v>821.50188440726583</v>
      </c>
      <c r="F29">
        <f t="shared" si="2"/>
        <v>821.5</v>
      </c>
      <c r="G29">
        <f t="shared" si="3"/>
        <v>1.2759999954141676E-3</v>
      </c>
      <c r="J29">
        <f>+G29</f>
        <v>1.2759999954141676E-3</v>
      </c>
      <c r="P29" s="15">
        <f t="shared" si="4"/>
        <v>-5.1958925677985214E-4</v>
      </c>
      <c r="Q29" s="2">
        <f t="shared" si="5"/>
        <v>38038.014900000002</v>
      </c>
      <c r="R29" s="85">
        <f t="shared" si="6"/>
        <v>3.224140762594679E-6</v>
      </c>
      <c r="S29">
        <f>S$17</f>
        <v>1</v>
      </c>
      <c r="T29" s="85">
        <f t="shared" si="7"/>
        <v>3.224140762594679E-6</v>
      </c>
    </row>
    <row r="30" spans="1:23" x14ac:dyDescent="0.2">
      <c r="A30" s="27" t="s">
        <v>43</v>
      </c>
      <c r="B30" s="26"/>
      <c r="C30" s="27">
        <v>53846.392800000001</v>
      </c>
      <c r="D30" s="27">
        <v>5.0000000000000001E-4</v>
      </c>
      <c r="E30">
        <f t="shared" si="1"/>
        <v>1988.0000472578595</v>
      </c>
      <c r="F30">
        <f t="shared" si="2"/>
        <v>1988</v>
      </c>
      <c r="G30">
        <f t="shared" si="3"/>
        <v>3.199999628122896E-5</v>
      </c>
      <c r="J30">
        <f>+G30</f>
        <v>3.199999628122896E-5</v>
      </c>
      <c r="O30">
        <f t="shared" ref="O30:O43" ca="1" si="8">+C$11+C$12*$F30</f>
        <v>-1.3370459374026753E-2</v>
      </c>
      <c r="P30" s="15">
        <f t="shared" si="4"/>
        <v>2.3671360497448657E-4</v>
      </c>
      <c r="Q30" s="2">
        <f t="shared" si="5"/>
        <v>38827.892800000001</v>
      </c>
      <c r="R30" s="85">
        <f t="shared" si="6"/>
        <v>4.1907661584216201E-8</v>
      </c>
      <c r="S30">
        <f>S$17</f>
        <v>1</v>
      </c>
      <c r="T30" s="85">
        <f t="shared" si="7"/>
        <v>4.1907661584216201E-8</v>
      </c>
    </row>
    <row r="31" spans="1:23" x14ac:dyDescent="0.2">
      <c r="A31" s="31" t="s">
        <v>44</v>
      </c>
      <c r="B31" s="32" t="s">
        <v>35</v>
      </c>
      <c r="C31" s="31">
        <v>54500.505499999999</v>
      </c>
      <c r="D31" s="31">
        <v>4.0000000000000002E-4</v>
      </c>
      <c r="E31">
        <f t="shared" si="1"/>
        <v>2953.9990489355105</v>
      </c>
      <c r="F31">
        <f t="shared" si="2"/>
        <v>2954</v>
      </c>
      <c r="G31">
        <f t="shared" si="3"/>
        <v>-6.4400000701425597E-4</v>
      </c>
      <c r="K31">
        <f t="shared" ref="K31:K37" si="9">+G31</f>
        <v>-6.4400000701425597E-4</v>
      </c>
      <c r="O31">
        <f t="shared" ca="1" si="8"/>
        <v>-8.6716484399359823E-3</v>
      </c>
      <c r="P31" s="15">
        <f t="shared" si="4"/>
        <v>1.3733604270464181E-3</v>
      </c>
      <c r="Q31" s="2">
        <f t="shared" si="5"/>
        <v>39482.005499999999</v>
      </c>
      <c r="R31" s="85">
        <f t="shared" si="6"/>
        <v>4.0697431209134707E-6</v>
      </c>
      <c r="S31">
        <f t="shared" ref="S31:S37" si="10">S$18</f>
        <v>1</v>
      </c>
      <c r="T31" s="85">
        <f t="shared" si="7"/>
        <v>4.0697431209134707E-6</v>
      </c>
    </row>
    <row r="32" spans="1:23" x14ac:dyDescent="0.2">
      <c r="A32" s="28" t="s">
        <v>45</v>
      </c>
      <c r="B32" s="29" t="s">
        <v>42</v>
      </c>
      <c r="C32" s="28">
        <v>54895.616499999996</v>
      </c>
      <c r="D32" s="28">
        <v>1E-4</v>
      </c>
      <c r="E32">
        <f t="shared" si="1"/>
        <v>3537.5022152122956</v>
      </c>
      <c r="F32">
        <f t="shared" si="2"/>
        <v>3537.5</v>
      </c>
      <c r="G32">
        <f t="shared" si="3"/>
        <v>1.4999999912106432E-3</v>
      </c>
      <c r="K32">
        <f t="shared" si="9"/>
        <v>1.4999999912106432E-3</v>
      </c>
      <c r="O32">
        <f t="shared" ca="1" si="8"/>
        <v>-5.8333915247786687E-3</v>
      </c>
      <c r="P32" s="15">
        <f t="shared" si="4"/>
        <v>2.2839254276767135E-3</v>
      </c>
      <c r="Q32" s="2">
        <f t="shared" si="5"/>
        <v>39877.116499999996</v>
      </c>
      <c r="R32" s="85">
        <f t="shared" si="6"/>
        <v>6.1453908993851878E-7</v>
      </c>
      <c r="S32">
        <f t="shared" si="10"/>
        <v>1</v>
      </c>
      <c r="T32" s="85">
        <f t="shared" si="7"/>
        <v>6.1453908993851878E-7</v>
      </c>
    </row>
    <row r="33" spans="1:20" x14ac:dyDescent="0.2">
      <c r="A33" s="33" t="s">
        <v>46</v>
      </c>
      <c r="B33" s="32" t="s">
        <v>35</v>
      </c>
      <c r="C33" s="31">
        <v>55264.319000000003</v>
      </c>
      <c r="D33" s="31">
        <v>2.9999999999999997E-4</v>
      </c>
      <c r="E33">
        <f t="shared" si="1"/>
        <v>4082.0050920346866</v>
      </c>
      <c r="F33">
        <f t="shared" si="2"/>
        <v>4082</v>
      </c>
      <c r="G33">
        <f t="shared" si="3"/>
        <v>3.448000003118068E-3</v>
      </c>
      <c r="K33">
        <f t="shared" si="9"/>
        <v>3.448000003118068E-3</v>
      </c>
      <c r="O33">
        <f t="shared" ca="1" si="8"/>
        <v>-3.1848381566498656E-3</v>
      </c>
      <c r="P33" s="15">
        <f t="shared" si="4"/>
        <v>3.2857895937474079E-3</v>
      </c>
      <c r="Q33" s="2">
        <f t="shared" si="5"/>
        <v>40245.819000000003</v>
      </c>
      <c r="R33" s="85">
        <f t="shared" si="6"/>
        <v>2.6312216908197124E-8</v>
      </c>
      <c r="S33">
        <f t="shared" si="10"/>
        <v>1</v>
      </c>
      <c r="T33" s="85">
        <f t="shared" si="7"/>
        <v>2.6312216908197124E-8</v>
      </c>
    </row>
    <row r="34" spans="1:20" x14ac:dyDescent="0.2">
      <c r="A34" s="33" t="s">
        <v>47</v>
      </c>
      <c r="B34" s="32" t="s">
        <v>42</v>
      </c>
      <c r="C34" s="31">
        <v>55287.679700000001</v>
      </c>
      <c r="D34" s="31">
        <v>1E-4</v>
      </c>
      <c r="E34">
        <f t="shared" si="1"/>
        <v>4116.5043654450465</v>
      </c>
      <c r="F34">
        <f t="shared" si="2"/>
        <v>4116.5</v>
      </c>
      <c r="G34">
        <f t="shared" si="3"/>
        <v>2.9559999966295436E-3</v>
      </c>
      <c r="K34">
        <f t="shared" si="9"/>
        <v>2.9559999966295436E-3</v>
      </c>
      <c r="O34">
        <f t="shared" ca="1" si="8"/>
        <v>-3.0170234804323404E-3</v>
      </c>
      <c r="P34" s="15">
        <f t="shared" si="4"/>
        <v>3.35421727644078E-3</v>
      </c>
      <c r="Q34" s="2">
        <f t="shared" si="5"/>
        <v>40269.179700000001</v>
      </c>
      <c r="R34" s="85">
        <f t="shared" si="6"/>
        <v>1.5857700194026058E-7</v>
      </c>
      <c r="S34">
        <f t="shared" si="10"/>
        <v>1</v>
      </c>
      <c r="T34" s="85">
        <f t="shared" si="7"/>
        <v>1.5857700194026058E-7</v>
      </c>
    </row>
    <row r="35" spans="1:20" x14ac:dyDescent="0.2">
      <c r="A35" s="33" t="s">
        <v>46</v>
      </c>
      <c r="B35" s="32" t="s">
        <v>42</v>
      </c>
      <c r="C35" s="31">
        <v>55294.451399999998</v>
      </c>
      <c r="D35" s="31">
        <v>2.0000000000000001E-4</v>
      </c>
      <c r="E35">
        <f t="shared" si="1"/>
        <v>4126.5048675598327</v>
      </c>
      <c r="F35">
        <f t="shared" si="2"/>
        <v>4126.5</v>
      </c>
      <c r="G35">
        <f t="shared" si="3"/>
        <v>3.2959999953163788E-3</v>
      </c>
      <c r="K35">
        <f t="shared" si="9"/>
        <v>3.2959999953163788E-3</v>
      </c>
      <c r="O35">
        <f t="shared" ca="1" si="8"/>
        <v>-2.9683815452968242E-3</v>
      </c>
      <c r="P35" s="15">
        <f t="shared" si="4"/>
        <v>3.3741616306767292E-3</v>
      </c>
      <c r="Q35" s="2">
        <f t="shared" si="5"/>
        <v>40275.951399999998</v>
      </c>
      <c r="R35" s="85">
        <f t="shared" si="6"/>
        <v>6.1092412422043896E-9</v>
      </c>
      <c r="S35">
        <f t="shared" si="10"/>
        <v>1</v>
      </c>
      <c r="T35" s="85">
        <f t="shared" si="7"/>
        <v>6.1092412422043896E-9</v>
      </c>
    </row>
    <row r="36" spans="1:20" x14ac:dyDescent="0.2">
      <c r="A36" s="33" t="s">
        <v>46</v>
      </c>
      <c r="B36" s="32" t="s">
        <v>42</v>
      </c>
      <c r="C36" s="31">
        <v>55474.567300000002</v>
      </c>
      <c r="D36" s="31">
        <v>2.9999999999999997E-4</v>
      </c>
      <c r="E36">
        <f t="shared" si="1"/>
        <v>4392.5015063443661</v>
      </c>
      <c r="F36">
        <f t="shared" si="2"/>
        <v>4392.5</v>
      </c>
      <c r="G36">
        <f t="shared" si="3"/>
        <v>1.0199999960605055E-3</v>
      </c>
      <c r="K36">
        <f t="shared" si="9"/>
        <v>1.0199999960605055E-3</v>
      </c>
      <c r="O36">
        <f t="shared" ca="1" si="8"/>
        <v>-1.674506070692118E-3</v>
      </c>
      <c r="P36" s="15">
        <f t="shared" si="4"/>
        <v>3.9228693699179928E-3</v>
      </c>
      <c r="Q36" s="2">
        <f t="shared" si="5"/>
        <v>40456.067300000002</v>
      </c>
      <c r="R36" s="85">
        <f t="shared" si="6"/>
        <v>8.4266506016797609E-6</v>
      </c>
      <c r="S36">
        <f t="shared" si="10"/>
        <v>1</v>
      </c>
      <c r="T36" s="85">
        <f t="shared" si="7"/>
        <v>8.4266506016797609E-6</v>
      </c>
    </row>
    <row r="37" spans="1:20" x14ac:dyDescent="0.2">
      <c r="A37" s="50" t="s">
        <v>147</v>
      </c>
      <c r="B37" s="51" t="s">
        <v>35</v>
      </c>
      <c r="C37" s="50">
        <v>55622.524599999997</v>
      </c>
      <c r="D37" s="50" t="s">
        <v>68</v>
      </c>
      <c r="E37">
        <f t="shared" si="1"/>
        <v>4611.0060608208596</v>
      </c>
      <c r="F37">
        <f t="shared" si="2"/>
        <v>4611</v>
      </c>
      <c r="G37">
        <f t="shared" si="3"/>
        <v>4.1039999923668802E-3</v>
      </c>
      <c r="K37">
        <f t="shared" si="9"/>
        <v>4.1039999923668802E-3</v>
      </c>
      <c r="O37">
        <f t="shared" ca="1" si="8"/>
        <v>-6.1167978798111131E-4</v>
      </c>
      <c r="P37" s="15">
        <f t="shared" si="4"/>
        <v>4.399819910413074E-3</v>
      </c>
      <c r="Q37" s="2">
        <f t="shared" si="5"/>
        <v>40604.024599999997</v>
      </c>
      <c r="R37" s="85">
        <f t="shared" si="6"/>
        <v>8.7509423912856862E-8</v>
      </c>
      <c r="S37">
        <f t="shared" si="10"/>
        <v>1</v>
      </c>
      <c r="T37" s="85">
        <f t="shared" si="7"/>
        <v>8.7509423912856862E-8</v>
      </c>
    </row>
    <row r="38" spans="1:20" x14ac:dyDescent="0.2">
      <c r="A38" s="28" t="s">
        <v>51</v>
      </c>
      <c r="B38" s="29" t="s">
        <v>35</v>
      </c>
      <c r="C38" s="28">
        <v>55654.351300000002</v>
      </c>
      <c r="D38" s="28">
        <v>2.8E-3</v>
      </c>
      <c r="E38">
        <f t="shared" si="1"/>
        <v>4658.0079924859974</v>
      </c>
      <c r="F38">
        <f t="shared" si="2"/>
        <v>4658</v>
      </c>
      <c r="G38">
        <f t="shared" si="3"/>
        <v>5.411999998614192E-3</v>
      </c>
      <c r="J38">
        <f>+G38</f>
        <v>5.411999998614192E-3</v>
      </c>
      <c r="O38">
        <f t="shared" ca="1" si="8"/>
        <v>-3.8306269284419173E-4</v>
      </c>
      <c r="P38" s="15">
        <f t="shared" si="4"/>
        <v>4.5055047863577597E-3</v>
      </c>
      <c r="Q38" s="2">
        <f t="shared" si="5"/>
        <v>40635.851300000002</v>
      </c>
      <c r="R38" s="85">
        <f t="shared" si="6"/>
        <v>8.2173356984383414E-7</v>
      </c>
      <c r="S38">
        <f>S$17</f>
        <v>1</v>
      </c>
      <c r="T38" s="85">
        <f t="shared" si="7"/>
        <v>8.2173356984383414E-7</v>
      </c>
    </row>
    <row r="39" spans="1:20" x14ac:dyDescent="0.2">
      <c r="A39" s="50" t="s">
        <v>158</v>
      </c>
      <c r="B39" s="51" t="s">
        <v>35</v>
      </c>
      <c r="C39" s="50">
        <v>55677.3724</v>
      </c>
      <c r="D39" s="50" t="s">
        <v>68</v>
      </c>
      <c r="E39">
        <f t="shared" si="1"/>
        <v>4692.0057418302922</v>
      </c>
      <c r="F39">
        <f t="shared" si="2"/>
        <v>4692</v>
      </c>
      <c r="G39">
        <f t="shared" si="3"/>
        <v>3.8879999992786907E-3</v>
      </c>
      <c r="K39">
        <f t="shared" ref="K39:K47" si="11">+G39</f>
        <v>3.8879999992786907E-3</v>
      </c>
      <c r="O39">
        <f t="shared" ca="1" si="8"/>
        <v>-2.176801133834394E-4</v>
      </c>
      <c r="P39" s="15">
        <f t="shared" si="4"/>
        <v>4.5826399451742092E-3</v>
      </c>
      <c r="Q39" s="2">
        <f t="shared" si="5"/>
        <v>40658.8724</v>
      </c>
      <c r="R39" s="85">
        <f t="shared" si="6"/>
        <v>4.8252465443372894E-7</v>
      </c>
      <c r="S39">
        <f t="shared" ref="S39:S47" si="12">S$18</f>
        <v>1</v>
      </c>
      <c r="T39" s="85">
        <f t="shared" si="7"/>
        <v>4.8252465443372894E-7</v>
      </c>
    </row>
    <row r="40" spans="1:20" x14ac:dyDescent="0.2">
      <c r="A40" s="33" t="s">
        <v>56</v>
      </c>
      <c r="B40" s="32" t="s">
        <v>42</v>
      </c>
      <c r="C40" s="31">
        <v>55929.606500000002</v>
      </c>
      <c r="D40" s="31">
        <v>1.1000000000000001E-3</v>
      </c>
      <c r="E40">
        <f t="shared" si="1"/>
        <v>5064.507130030006</v>
      </c>
      <c r="F40">
        <f t="shared" si="2"/>
        <v>5064.5</v>
      </c>
      <c r="G40">
        <f t="shared" si="3"/>
        <v>4.8279999973601662E-3</v>
      </c>
      <c r="K40">
        <f t="shared" si="11"/>
        <v>4.8279999973601662E-3</v>
      </c>
      <c r="O40">
        <f t="shared" ca="1" si="8"/>
        <v>1.5942319704145037E-3</v>
      </c>
      <c r="P40" s="15">
        <f t="shared" si="4"/>
        <v>5.4652364341613753E-3</v>
      </c>
      <c r="Q40" s="2">
        <f t="shared" si="5"/>
        <v>40911.106500000002</v>
      </c>
      <c r="R40" s="85">
        <f t="shared" si="6"/>
        <v>4.0607027638710139E-7</v>
      </c>
      <c r="S40">
        <f t="shared" si="12"/>
        <v>1</v>
      </c>
      <c r="T40" s="85">
        <f t="shared" si="7"/>
        <v>4.0607027638710139E-7</v>
      </c>
    </row>
    <row r="41" spans="1:20" x14ac:dyDescent="0.2">
      <c r="A41" s="33" t="s">
        <v>56</v>
      </c>
      <c r="B41" s="32" t="s">
        <v>42</v>
      </c>
      <c r="C41" s="31">
        <v>55930.2817</v>
      </c>
      <c r="D41" s="31">
        <v>1.5E-3</v>
      </c>
      <c r="E41">
        <f t="shared" si="1"/>
        <v>5065.5042709293202</v>
      </c>
      <c r="F41">
        <f t="shared" si="2"/>
        <v>5065.5</v>
      </c>
      <c r="G41">
        <f t="shared" si="3"/>
        <v>2.8919999967911281E-3</v>
      </c>
      <c r="K41">
        <f t="shared" si="11"/>
        <v>2.8919999967911281E-3</v>
      </c>
      <c r="O41">
        <f t="shared" ca="1" si="8"/>
        <v>1.5990961639280529E-3</v>
      </c>
      <c r="P41" s="15">
        <f t="shared" si="4"/>
        <v>5.4676983507683389E-3</v>
      </c>
      <c r="Q41" s="2">
        <f t="shared" si="5"/>
        <v>40911.7817</v>
      </c>
      <c r="R41" s="85">
        <f t="shared" si="6"/>
        <v>6.6342220106809128E-6</v>
      </c>
      <c r="S41">
        <f t="shared" si="12"/>
        <v>1</v>
      </c>
      <c r="T41" s="85">
        <f t="shared" si="7"/>
        <v>6.6342220106809128E-6</v>
      </c>
    </row>
    <row r="42" spans="1:20" x14ac:dyDescent="0.2">
      <c r="A42" s="33" t="s">
        <v>56</v>
      </c>
      <c r="B42" s="32" t="s">
        <v>35</v>
      </c>
      <c r="C42" s="31">
        <v>55930.624000000003</v>
      </c>
      <c r="D42" s="31">
        <v>6.9999999999999999E-4</v>
      </c>
      <c r="E42">
        <f t="shared" si="1"/>
        <v>5066.0097823775432</v>
      </c>
      <c r="F42">
        <f t="shared" si="2"/>
        <v>5066</v>
      </c>
      <c r="G42">
        <f t="shared" si="3"/>
        <v>6.6240000014659017E-3</v>
      </c>
      <c r="K42">
        <f t="shared" si="11"/>
        <v>6.6240000014659017E-3</v>
      </c>
      <c r="O42">
        <f t="shared" ca="1" si="8"/>
        <v>1.6015282606848293E-3</v>
      </c>
      <c r="P42" s="15">
        <f t="shared" si="4"/>
        <v>5.468929494875153E-3</v>
      </c>
      <c r="Q42" s="2">
        <f t="shared" si="5"/>
        <v>40912.124000000003</v>
      </c>
      <c r="R42" s="85">
        <f t="shared" si="6"/>
        <v>1.3341878751958089E-6</v>
      </c>
      <c r="S42">
        <f t="shared" si="12"/>
        <v>1</v>
      </c>
      <c r="T42" s="85">
        <f t="shared" si="7"/>
        <v>1.3341878751958089E-6</v>
      </c>
    </row>
    <row r="43" spans="1:20" x14ac:dyDescent="0.2">
      <c r="A43" s="50" t="s">
        <v>180</v>
      </c>
      <c r="B43" s="51" t="s">
        <v>35</v>
      </c>
      <c r="C43" s="50">
        <v>55934.008300000001</v>
      </c>
      <c r="D43" s="50" t="s">
        <v>68</v>
      </c>
      <c r="E43">
        <f t="shared" si="1"/>
        <v>5071.0077443822183</v>
      </c>
      <c r="F43">
        <f t="shared" si="2"/>
        <v>5071</v>
      </c>
      <c r="G43">
        <f t="shared" si="3"/>
        <v>5.2439999999478459E-3</v>
      </c>
      <c r="K43">
        <f t="shared" si="11"/>
        <v>5.2439999999478459E-3</v>
      </c>
      <c r="O43">
        <f t="shared" ca="1" si="8"/>
        <v>1.6258492282525891E-3</v>
      </c>
      <c r="P43" s="15">
        <f t="shared" si="4"/>
        <v>5.4812477487321334E-3</v>
      </c>
      <c r="Q43" s="2">
        <f t="shared" si="5"/>
        <v>40915.508300000001</v>
      </c>
      <c r="R43" s="85">
        <f t="shared" si="6"/>
        <v>5.6286494303212395E-8</v>
      </c>
      <c r="S43">
        <f t="shared" si="12"/>
        <v>1</v>
      </c>
      <c r="T43" s="85">
        <f t="shared" si="7"/>
        <v>5.6286494303212395E-8</v>
      </c>
    </row>
    <row r="44" spans="1:20" x14ac:dyDescent="0.2">
      <c r="A44" s="50" t="s">
        <v>180</v>
      </c>
      <c r="B44" s="51" t="s">
        <v>42</v>
      </c>
      <c r="C44" s="50">
        <v>55935.022499999999</v>
      </c>
      <c r="D44" s="50" t="s">
        <v>68</v>
      </c>
      <c r="E44">
        <f t="shared" ref="E44:E54" si="13">+(C44-C$7)/C$8</f>
        <v>5072.5055232626764</v>
      </c>
      <c r="F44">
        <f t="shared" ref="F44:F54" si="14">ROUND(2*E44,0)/2</f>
        <v>5072.5</v>
      </c>
      <c r="G44">
        <f t="shared" ref="G44:G54" si="15">+C44-(C$7+F44*C$8)</f>
        <v>3.7399999928311445E-3</v>
      </c>
      <c r="K44">
        <f t="shared" si="11"/>
        <v>3.7399999928311445E-3</v>
      </c>
      <c r="O44">
        <f t="shared" ref="O44:O54" ca="1" si="16">+C$11+C$12*$F44</f>
        <v>1.6331455185229146E-3</v>
      </c>
      <c r="P44" s="15">
        <f t="shared" si="4"/>
        <v>5.4849456403325428E-3</v>
      </c>
      <c r="Q44" s="2">
        <f t="shared" ref="Q44:Q54" si="17">+C44-15018.5</f>
        <v>40916.522499999999</v>
      </c>
      <c r="R44" s="85">
        <f t="shared" si="6"/>
        <v>3.0448353127340741E-6</v>
      </c>
      <c r="S44">
        <f t="shared" si="12"/>
        <v>1</v>
      </c>
      <c r="T44" s="85">
        <f t="shared" si="7"/>
        <v>3.0448353127340741E-6</v>
      </c>
    </row>
    <row r="45" spans="1:20" x14ac:dyDescent="0.2">
      <c r="A45" s="50" t="s">
        <v>180</v>
      </c>
      <c r="B45" s="51" t="s">
        <v>35</v>
      </c>
      <c r="C45" s="50">
        <v>55935.362200000003</v>
      </c>
      <c r="D45" s="50" t="s">
        <v>68</v>
      </c>
      <c r="E45">
        <f t="shared" si="13"/>
        <v>5073.0071950095698</v>
      </c>
      <c r="F45">
        <f t="shared" si="14"/>
        <v>5073</v>
      </c>
      <c r="G45">
        <f t="shared" si="15"/>
        <v>4.8719999977038242E-3</v>
      </c>
      <c r="K45">
        <f t="shared" si="11"/>
        <v>4.8719999977038242E-3</v>
      </c>
      <c r="O45">
        <f t="shared" ca="1" si="16"/>
        <v>1.6355776152796909E-3</v>
      </c>
      <c r="P45" s="15">
        <f t="shared" si="4"/>
        <v>5.4861785186037897E-3</v>
      </c>
      <c r="Q45" s="2">
        <f t="shared" si="17"/>
        <v>40916.862200000003</v>
      </c>
      <c r="R45" s="85">
        <f t="shared" si="6"/>
        <v>3.7721525553486931E-7</v>
      </c>
      <c r="S45">
        <f t="shared" si="12"/>
        <v>1</v>
      </c>
      <c r="T45" s="85">
        <f t="shared" si="7"/>
        <v>3.7721525553486931E-7</v>
      </c>
    </row>
    <row r="46" spans="1:20" x14ac:dyDescent="0.2">
      <c r="A46" s="33" t="s">
        <v>56</v>
      </c>
      <c r="B46" s="32" t="s">
        <v>35</v>
      </c>
      <c r="C46" s="31">
        <v>55935.364200000004</v>
      </c>
      <c r="D46" s="31">
        <v>2.0000000000000001E-4</v>
      </c>
      <c r="E46">
        <f t="shared" si="13"/>
        <v>5073.0101486259782</v>
      </c>
      <c r="F46">
        <f t="shared" si="14"/>
        <v>5073</v>
      </c>
      <c r="G46">
        <f t="shared" si="15"/>
        <v>6.8719999981112778E-3</v>
      </c>
      <c r="K46">
        <f t="shared" si="11"/>
        <v>6.8719999981112778E-3</v>
      </c>
      <c r="O46">
        <f t="shared" ca="1" si="16"/>
        <v>1.6355776152796909E-3</v>
      </c>
      <c r="P46" s="15">
        <f t="shared" si="4"/>
        <v>5.4861785186037897E-3</v>
      </c>
      <c r="Q46" s="2">
        <f t="shared" si="17"/>
        <v>40916.864200000004</v>
      </c>
      <c r="R46" s="85">
        <f t="shared" si="6"/>
        <v>1.9205011730643233E-6</v>
      </c>
      <c r="S46">
        <f t="shared" si="12"/>
        <v>1</v>
      </c>
      <c r="T46" s="85">
        <f t="shared" si="7"/>
        <v>1.9205011730643233E-6</v>
      </c>
    </row>
    <row r="47" spans="1:20" x14ac:dyDescent="0.2">
      <c r="A47" s="35" t="s">
        <v>52</v>
      </c>
      <c r="B47" s="32" t="s">
        <v>42</v>
      </c>
      <c r="C47" s="31">
        <v>55995.289599999996</v>
      </c>
      <c r="D47" s="31">
        <v>2.9999999999999997E-4</v>
      </c>
      <c r="E47">
        <f t="shared" si="13"/>
        <v>5161.5084709718476</v>
      </c>
      <c r="F47">
        <f t="shared" si="14"/>
        <v>5161.5</v>
      </c>
      <c r="G47">
        <f t="shared" si="15"/>
        <v>5.7359999918844551E-3</v>
      </c>
      <c r="K47">
        <f t="shared" si="11"/>
        <v>5.7359999918844551E-3</v>
      </c>
      <c r="O47">
        <f t="shared" ca="1" si="16"/>
        <v>2.0660587412290009E-3</v>
      </c>
      <c r="P47" s="15">
        <f t="shared" si="4"/>
        <v>5.7063492792072601E-3</v>
      </c>
      <c r="Q47" s="2">
        <f t="shared" si="17"/>
        <v>40976.789599999996</v>
      </c>
      <c r="R47" s="85">
        <f t="shared" si="6"/>
        <v>8.7916476226557377E-10</v>
      </c>
      <c r="S47">
        <f t="shared" si="12"/>
        <v>1</v>
      </c>
      <c r="T47" s="85">
        <f t="shared" si="7"/>
        <v>8.7916476226557377E-10</v>
      </c>
    </row>
    <row r="48" spans="1:20" x14ac:dyDescent="0.2">
      <c r="A48" s="35" t="s">
        <v>53</v>
      </c>
      <c r="B48" s="26" t="s">
        <v>35</v>
      </c>
      <c r="C48" s="27">
        <v>56010.5265</v>
      </c>
      <c r="D48" s="27">
        <v>1E-4</v>
      </c>
      <c r="E48">
        <f t="shared" si="13"/>
        <v>5184.0104498948458</v>
      </c>
      <c r="F48">
        <f t="shared" si="14"/>
        <v>5184</v>
      </c>
      <c r="G48">
        <f t="shared" si="15"/>
        <v>7.0759999944129959E-3</v>
      </c>
      <c r="J48">
        <f>+G48</f>
        <v>7.0759999944129959E-3</v>
      </c>
      <c r="O48">
        <f t="shared" ca="1" si="16"/>
        <v>2.175503095283908E-3</v>
      </c>
      <c r="P48" s="15">
        <f t="shared" si="4"/>
        <v>5.7629436214054718E-3</v>
      </c>
      <c r="Q48" s="2">
        <f t="shared" si="17"/>
        <v>40992.0265</v>
      </c>
      <c r="R48" s="85">
        <f t="shared" si="6"/>
        <v>1.7241170386956744E-6</v>
      </c>
      <c r="S48">
        <f>S$17</f>
        <v>1</v>
      </c>
      <c r="T48" s="85">
        <f t="shared" si="7"/>
        <v>1.7241170386956744E-6</v>
      </c>
    </row>
    <row r="49" spans="1:21" x14ac:dyDescent="0.2">
      <c r="A49" s="65" t="s">
        <v>247</v>
      </c>
      <c r="B49" s="66" t="s">
        <v>35</v>
      </c>
      <c r="C49" s="67">
        <v>56086.376700000001</v>
      </c>
      <c r="D49" s="67">
        <v>2.0000000000000001E-4</v>
      </c>
      <c r="E49" s="54">
        <f t="shared" si="13"/>
        <v>5296.0266475272283</v>
      </c>
      <c r="F49">
        <f t="shared" si="14"/>
        <v>5296</v>
      </c>
      <c r="O49">
        <f t="shared" ca="1" si="16"/>
        <v>2.7202927688016812E-3</v>
      </c>
      <c r="P49" s="15">
        <f t="shared" si="4"/>
        <v>6.0483896022058056E-3</v>
      </c>
      <c r="Q49" s="2">
        <f t="shared" si="17"/>
        <v>41067.876700000001</v>
      </c>
      <c r="R49" s="85">
        <f>+(P49-U49)^2</f>
        <v>1.4389466873733164E-4</v>
      </c>
      <c r="T49" s="85"/>
      <c r="U49">
        <f>+C49-(C$7+F49*C$8)</f>
        <v>1.8043999996734783E-2</v>
      </c>
    </row>
    <row r="50" spans="1:21" x14ac:dyDescent="0.2">
      <c r="A50" s="65" t="s">
        <v>247</v>
      </c>
      <c r="B50" s="66" t="s">
        <v>42</v>
      </c>
      <c r="C50" s="67">
        <v>56089.415399999998</v>
      </c>
      <c r="D50" s="67">
        <v>2.0000000000000001E-4</v>
      </c>
      <c r="E50" s="54">
        <f t="shared" si="13"/>
        <v>5300.5142246166124</v>
      </c>
      <c r="F50">
        <f t="shared" si="14"/>
        <v>5300.5</v>
      </c>
      <c r="G50">
        <f t="shared" si="15"/>
        <v>9.6319999938714318E-3</v>
      </c>
      <c r="K50">
        <f>+G50</f>
        <v>9.6319999938714318E-3</v>
      </c>
      <c r="O50">
        <f t="shared" ca="1" si="16"/>
        <v>2.7421816396126612E-3</v>
      </c>
      <c r="P50" s="15">
        <f t="shared" si="4"/>
        <v>6.0599882904634732E-3</v>
      </c>
      <c r="Q50" s="2">
        <f t="shared" si="17"/>
        <v>41070.915399999998</v>
      </c>
      <c r="R50" s="85">
        <f t="shared" si="6"/>
        <v>1.2759267609283426E-5</v>
      </c>
      <c r="S50">
        <f>S$18</f>
        <v>1</v>
      </c>
      <c r="T50" s="85">
        <f t="shared" si="7"/>
        <v>1.2759267609283426E-5</v>
      </c>
    </row>
    <row r="51" spans="1:21" x14ac:dyDescent="0.2">
      <c r="A51" s="34" t="s">
        <v>55</v>
      </c>
      <c r="B51" s="36"/>
      <c r="C51" s="27">
        <v>56304.741800000003</v>
      </c>
      <c r="D51" s="27">
        <v>2.0000000000000001E-4</v>
      </c>
      <c r="E51">
        <f t="shared" si="13"/>
        <v>5618.510018666856</v>
      </c>
      <c r="F51">
        <f t="shared" si="14"/>
        <v>5618.5</v>
      </c>
      <c r="G51">
        <f t="shared" si="15"/>
        <v>6.7839999974239618E-3</v>
      </c>
      <c r="K51">
        <f>+G51</f>
        <v>6.7839999974239618E-3</v>
      </c>
      <c r="O51">
        <f t="shared" ca="1" si="16"/>
        <v>4.2889951769220468E-3</v>
      </c>
      <c r="P51" s="15">
        <f t="shared" si="4"/>
        <v>6.9050356749594984E-3</v>
      </c>
      <c r="Q51" s="2">
        <f t="shared" si="17"/>
        <v>41286.241800000003</v>
      </c>
      <c r="R51" s="85">
        <f t="shared" si="6"/>
        <v>1.4649635236486398E-8</v>
      </c>
      <c r="S51">
        <f>S$18</f>
        <v>1</v>
      </c>
      <c r="T51" s="85">
        <f t="shared" si="7"/>
        <v>1.4649635236486398E-8</v>
      </c>
    </row>
    <row r="52" spans="1:21" x14ac:dyDescent="0.2">
      <c r="A52" s="27" t="s">
        <v>55</v>
      </c>
      <c r="B52" s="26" t="s">
        <v>42</v>
      </c>
      <c r="C52" s="27">
        <v>56304.741800000003</v>
      </c>
      <c r="D52" s="27">
        <v>2.0000000000000001E-4</v>
      </c>
      <c r="E52">
        <f t="shared" si="13"/>
        <v>5618.510018666856</v>
      </c>
      <c r="F52">
        <f t="shared" si="14"/>
        <v>5618.5</v>
      </c>
      <c r="G52">
        <f t="shared" si="15"/>
        <v>6.7839999974239618E-3</v>
      </c>
      <c r="K52">
        <f>+G52</f>
        <v>6.7839999974239618E-3</v>
      </c>
      <c r="O52">
        <f t="shared" ca="1" si="16"/>
        <v>4.2889951769220468E-3</v>
      </c>
      <c r="P52" s="15">
        <f t="shared" si="4"/>
        <v>6.9050356749594984E-3</v>
      </c>
      <c r="Q52" s="2">
        <f t="shared" si="17"/>
        <v>41286.241800000003</v>
      </c>
      <c r="R52" s="85">
        <f t="shared" si="6"/>
        <v>1.4649635236486398E-8</v>
      </c>
      <c r="S52">
        <f>S$18</f>
        <v>1</v>
      </c>
      <c r="T52" s="85">
        <f t="shared" si="7"/>
        <v>1.4649635236486398E-8</v>
      </c>
    </row>
    <row r="53" spans="1:21" x14ac:dyDescent="0.2">
      <c r="A53" s="27" t="s">
        <v>54</v>
      </c>
      <c r="B53" s="26" t="s">
        <v>35</v>
      </c>
      <c r="C53" s="27">
        <v>56374.486100000002</v>
      </c>
      <c r="D53" s="27">
        <v>6.7000000000000002E-3</v>
      </c>
      <c r="E53">
        <f t="shared" si="13"/>
        <v>5721.5089730866448</v>
      </c>
      <c r="F53">
        <f t="shared" si="14"/>
        <v>5721.5</v>
      </c>
      <c r="G53">
        <f t="shared" si="15"/>
        <v>6.0759999978472479E-3</v>
      </c>
      <c r="J53">
        <f>+G53</f>
        <v>6.0759999978472479E-3</v>
      </c>
      <c r="O53">
        <f t="shared" ca="1" si="16"/>
        <v>4.7900071088178529E-3</v>
      </c>
      <c r="P53" s="15">
        <f t="shared" si="4"/>
        <v>7.1894886445034159E-3</v>
      </c>
      <c r="Q53" s="2">
        <f t="shared" si="17"/>
        <v>41355.986100000002</v>
      </c>
      <c r="R53" s="85">
        <f t="shared" si="6"/>
        <v>1.2398569662321846E-6</v>
      </c>
      <c r="S53">
        <f>S$17</f>
        <v>1</v>
      </c>
      <c r="T53" s="85">
        <f t="shared" si="7"/>
        <v>1.2398569662321846E-6</v>
      </c>
    </row>
    <row r="54" spans="1:21" x14ac:dyDescent="0.2">
      <c r="A54" s="50" t="s">
        <v>218</v>
      </c>
      <c r="B54" s="51" t="s">
        <v>35</v>
      </c>
      <c r="C54" s="50">
        <v>56649.0723</v>
      </c>
      <c r="D54" s="50" t="s">
        <v>68</v>
      </c>
      <c r="E54">
        <f t="shared" si="13"/>
        <v>6127.0201259421983</v>
      </c>
      <c r="F54">
        <f t="shared" si="14"/>
        <v>6127</v>
      </c>
      <c r="G54">
        <f t="shared" si="15"/>
        <v>1.3627999993332196E-2</v>
      </c>
      <c r="K54">
        <f>+G54</f>
        <v>1.3627999993332196E-2</v>
      </c>
      <c r="O54">
        <f t="shared" ca="1" si="16"/>
        <v>6.7624375785629957E-3</v>
      </c>
      <c r="P54" s="15">
        <f t="shared" si="4"/>
        <v>8.3604323313949975E-3</v>
      </c>
      <c r="Q54" s="2">
        <f t="shared" si="17"/>
        <v>41630.5723</v>
      </c>
      <c r="R54" s="85">
        <f t="shared" si="6"/>
        <v>2.7747269073086525E-5</v>
      </c>
      <c r="S54">
        <f>S$18</f>
        <v>1</v>
      </c>
      <c r="T54" s="85">
        <f t="shared" si="7"/>
        <v>2.7747269073086525E-5</v>
      </c>
    </row>
    <row r="55" spans="1:21" x14ac:dyDescent="0.2">
      <c r="A55" s="52" t="s">
        <v>57</v>
      </c>
      <c r="B55" s="53" t="s">
        <v>35</v>
      </c>
      <c r="C55" s="52">
        <v>56731.338100000001</v>
      </c>
      <c r="D55" s="52">
        <v>5.9999999999999995E-4</v>
      </c>
      <c r="E55" s="54">
        <f t="shared" ref="E55:E64" si="18">+(C55-C$7)/C$8</f>
        <v>6248.5109342879387</v>
      </c>
      <c r="F55">
        <f t="shared" ref="F55:F65" si="19">ROUND(2*E55,0)/2</f>
        <v>6248.5</v>
      </c>
      <c r="G55">
        <f t="shared" ref="G55:G64" si="20">+C55-(C$7+F55*C$8)</f>
        <v>7.4039999963133596E-3</v>
      </c>
      <c r="J55">
        <f t="shared" ref="J55:J60" si="21">+G55</f>
        <v>7.4039999963133596E-3</v>
      </c>
      <c r="O55">
        <f t="shared" ref="O55:O64" ca="1" si="22">+C$11+C$12*$F55</f>
        <v>7.3534370904595053E-3</v>
      </c>
      <c r="P55" s="15">
        <f t="shared" si="4"/>
        <v>8.7271450630343125E-3</v>
      </c>
      <c r="Q55" s="2">
        <f t="shared" ref="Q55:Q64" si="23">+C55-15018.5</f>
        <v>41712.838100000001</v>
      </c>
      <c r="R55" s="85">
        <f t="shared" si="6"/>
        <v>1.750712867587995E-6</v>
      </c>
      <c r="S55">
        <f t="shared" ref="S55:S60" si="24">S$17</f>
        <v>1</v>
      </c>
      <c r="T55" s="85">
        <f t="shared" si="7"/>
        <v>1.750712867587995E-6</v>
      </c>
    </row>
    <row r="56" spans="1:21" x14ac:dyDescent="0.2">
      <c r="A56" s="52" t="s">
        <v>57</v>
      </c>
      <c r="B56" s="53" t="s">
        <v>35</v>
      </c>
      <c r="C56" s="52">
        <v>56734.3871</v>
      </c>
      <c r="D56" s="52">
        <v>6.9999999999999999E-4</v>
      </c>
      <c r="E56" s="54">
        <f t="shared" si="18"/>
        <v>6253.0137225018261</v>
      </c>
      <c r="F56">
        <f t="shared" si="19"/>
        <v>6253</v>
      </c>
      <c r="G56">
        <f t="shared" si="20"/>
        <v>9.2919999951845966E-3</v>
      </c>
      <c r="J56">
        <f t="shared" si="21"/>
        <v>9.2919999951845966E-3</v>
      </c>
      <c r="O56">
        <f t="shared" ca="1" si="22"/>
        <v>7.3753259612704854E-3</v>
      </c>
      <c r="P56" s="15">
        <f t="shared" si="4"/>
        <v>8.740867483377001E-3</v>
      </c>
      <c r="Q56" s="2">
        <f t="shared" si="23"/>
        <v>41715.8871</v>
      </c>
      <c r="R56" s="85">
        <f t="shared" si="6"/>
        <v>3.0374704557134954E-7</v>
      </c>
      <c r="S56">
        <f t="shared" si="24"/>
        <v>1</v>
      </c>
      <c r="T56" s="85">
        <f t="shared" si="7"/>
        <v>3.0374704557134954E-7</v>
      </c>
    </row>
    <row r="57" spans="1:21" x14ac:dyDescent="0.2">
      <c r="A57" s="52" t="s">
        <v>57</v>
      </c>
      <c r="B57" s="53" t="s">
        <v>35</v>
      </c>
      <c r="C57" s="52">
        <v>56737.431199999999</v>
      </c>
      <c r="D57" s="52">
        <v>8.9999999999999998E-4</v>
      </c>
      <c r="E57" s="54">
        <f t="shared" si="18"/>
        <v>6257.5092743555142</v>
      </c>
      <c r="F57">
        <f t="shared" si="19"/>
        <v>6257.5</v>
      </c>
      <c r="G57">
        <f t="shared" si="20"/>
        <v>6.2799999941489659E-3</v>
      </c>
      <c r="J57">
        <f t="shared" si="21"/>
        <v>6.2799999941489659E-3</v>
      </c>
      <c r="O57">
        <f t="shared" ca="1" si="22"/>
        <v>7.3972148320814689E-3</v>
      </c>
      <c r="P57" s="15">
        <f t="shared" si="4"/>
        <v>8.7545999370996185E-3</v>
      </c>
      <c r="Q57" s="2">
        <f t="shared" si="23"/>
        <v>41718.931199999999</v>
      </c>
      <c r="R57" s="85">
        <f t="shared" si="6"/>
        <v>6.1236448776513727E-6</v>
      </c>
      <c r="S57">
        <f t="shared" si="24"/>
        <v>1</v>
      </c>
      <c r="T57" s="85">
        <f t="shared" si="7"/>
        <v>6.1236448776513727E-6</v>
      </c>
    </row>
    <row r="58" spans="1:21" x14ac:dyDescent="0.2">
      <c r="A58" s="52" t="s">
        <v>57</v>
      </c>
      <c r="B58" s="53" t="s">
        <v>35</v>
      </c>
      <c r="C58" s="52">
        <v>56744.544300000001</v>
      </c>
      <c r="D58" s="52">
        <v>1.2999999999999999E-3</v>
      </c>
      <c r="E58" s="54">
        <f t="shared" si="18"/>
        <v>6268.0139587911408</v>
      </c>
      <c r="F58">
        <f t="shared" si="19"/>
        <v>6268</v>
      </c>
      <c r="G58">
        <f t="shared" si="20"/>
        <v>9.4519999984186143E-3</v>
      </c>
      <c r="J58">
        <f t="shared" si="21"/>
        <v>9.4519999984186143E-3</v>
      </c>
      <c r="O58">
        <f t="shared" ca="1" si="22"/>
        <v>7.4482888639737579E-3</v>
      </c>
      <c r="P58" s="15">
        <f t="shared" si="4"/>
        <v>8.7866813478187818E-3</v>
      </c>
      <c r="Q58" s="2">
        <f t="shared" si="23"/>
        <v>41726.044300000001</v>
      </c>
      <c r="R58" s="85">
        <f t="shared" si="6"/>
        <v>4.4264890683598198E-7</v>
      </c>
      <c r="S58">
        <f t="shared" si="24"/>
        <v>1</v>
      </c>
      <c r="T58" s="85">
        <f t="shared" si="7"/>
        <v>4.4264890683598198E-7</v>
      </c>
    </row>
    <row r="59" spans="1:21" x14ac:dyDescent="0.2">
      <c r="A59" s="52" t="s">
        <v>57</v>
      </c>
      <c r="B59" s="53" t="s">
        <v>35</v>
      </c>
      <c r="C59" s="52">
        <v>56745.557800000002</v>
      </c>
      <c r="D59" s="52">
        <v>1.2999999999999999E-3</v>
      </c>
      <c r="E59" s="54">
        <f t="shared" si="18"/>
        <v>6269.5107039058612</v>
      </c>
      <c r="F59">
        <f t="shared" si="19"/>
        <v>6269.5</v>
      </c>
      <c r="G59">
        <f t="shared" si="20"/>
        <v>7.2480000017094426E-3</v>
      </c>
      <c r="J59">
        <f t="shared" si="21"/>
        <v>7.2480000017094426E-3</v>
      </c>
      <c r="O59">
        <f t="shared" ca="1" si="22"/>
        <v>7.4555851542440869E-3</v>
      </c>
      <c r="P59" s="15">
        <f t="shared" si="4"/>
        <v>8.7912688657729148E-3</v>
      </c>
      <c r="Q59" s="2">
        <f t="shared" si="23"/>
        <v>41727.057800000002</v>
      </c>
      <c r="R59" s="85">
        <f t="shared" si="6"/>
        <v>2.38167878678776E-6</v>
      </c>
      <c r="S59">
        <f t="shared" si="24"/>
        <v>1</v>
      </c>
      <c r="T59" s="85">
        <f t="shared" si="7"/>
        <v>2.38167878678776E-6</v>
      </c>
    </row>
    <row r="60" spans="1:21" x14ac:dyDescent="0.2">
      <c r="A60" s="55" t="s">
        <v>246</v>
      </c>
      <c r="B60" s="56"/>
      <c r="C60" s="55">
        <v>57091.576999999997</v>
      </c>
      <c r="D60" s="55">
        <v>6.7999999999999996E-3</v>
      </c>
      <c r="E60" s="54">
        <f t="shared" si="18"/>
        <v>6780.5146971952372</v>
      </c>
      <c r="F60">
        <f t="shared" si="19"/>
        <v>6780.5</v>
      </c>
      <c r="G60">
        <f t="shared" si="20"/>
        <v>9.9519999930635095E-3</v>
      </c>
      <c r="J60">
        <f t="shared" si="21"/>
        <v>9.9519999930635095E-3</v>
      </c>
      <c r="O60">
        <f t="shared" ca="1" si="22"/>
        <v>9.9411880396689106E-3</v>
      </c>
      <c r="P60" s="15">
        <f t="shared" si="4"/>
        <v>1.0418962742301606E-2</v>
      </c>
      <c r="Q60" s="2">
        <f t="shared" si="23"/>
        <v>42073.076999999997</v>
      </c>
      <c r="R60" s="85">
        <f t="shared" si="6"/>
        <v>2.1805420917600139E-7</v>
      </c>
      <c r="S60">
        <f t="shared" si="24"/>
        <v>1</v>
      </c>
      <c r="T60" s="85">
        <f t="shared" si="7"/>
        <v>2.1805420917600139E-7</v>
      </c>
    </row>
    <row r="61" spans="1:21" x14ac:dyDescent="0.2">
      <c r="A61" s="57" t="s">
        <v>245</v>
      </c>
      <c r="B61" s="54"/>
      <c r="C61" s="55">
        <v>57352.953699999998</v>
      </c>
      <c r="D61" s="55">
        <v>1E-4</v>
      </c>
      <c r="E61" s="54">
        <f t="shared" si="18"/>
        <v>7166.5179520805195</v>
      </c>
      <c r="F61">
        <f t="shared" si="19"/>
        <v>7166.5</v>
      </c>
      <c r="G61">
        <f t="shared" si="20"/>
        <v>1.2155999997048639E-2</v>
      </c>
      <c r="K61">
        <f>+G61</f>
        <v>1.2155999997048639E-2</v>
      </c>
      <c r="O61">
        <f t="shared" ca="1" si="22"/>
        <v>1.1818766735899801E-2</v>
      </c>
      <c r="P61" s="15">
        <f t="shared" si="4"/>
        <v>1.1734269977757042E-2</v>
      </c>
      <c r="Q61" s="2">
        <f t="shared" si="23"/>
        <v>42334.453699999998</v>
      </c>
      <c r="R61" s="85">
        <f t="shared" si="6"/>
        <v>1.7785620917169034E-7</v>
      </c>
      <c r="S61">
        <f>S$18</f>
        <v>1</v>
      </c>
      <c r="T61" s="85">
        <f t="shared" si="7"/>
        <v>1.7785620917169034E-7</v>
      </c>
    </row>
    <row r="62" spans="1:21" x14ac:dyDescent="0.2">
      <c r="A62" s="62" t="s">
        <v>1</v>
      </c>
      <c r="B62" s="63" t="s">
        <v>35</v>
      </c>
      <c r="C62" s="64">
        <v>57409.493900000001</v>
      </c>
      <c r="D62" s="64">
        <v>3.3E-3</v>
      </c>
      <c r="E62" s="54">
        <f t="shared" si="18"/>
        <v>7250.0169832943429</v>
      </c>
      <c r="F62">
        <f t="shared" si="19"/>
        <v>7250</v>
      </c>
      <c r="G62">
        <f t="shared" si="20"/>
        <v>1.1500000000523869E-2</v>
      </c>
      <c r="K62">
        <f>+G62</f>
        <v>1.1500000000523869E-2</v>
      </c>
      <c r="O62">
        <f t="shared" ca="1" si="22"/>
        <v>1.2224926894281354E-2</v>
      </c>
      <c r="P62" s="15">
        <f t="shared" si="4"/>
        <v>1.2028511000514134E-2</v>
      </c>
      <c r="Q62" s="2">
        <f t="shared" si="23"/>
        <v>42390.993900000001</v>
      </c>
      <c r="R62" s="85">
        <f t="shared" si="6"/>
        <v>2.7932387711071025E-7</v>
      </c>
      <c r="S62">
        <f>S$18</f>
        <v>1</v>
      </c>
      <c r="T62" s="85">
        <f t="shared" si="7"/>
        <v>2.7932387711071025E-7</v>
      </c>
    </row>
    <row r="63" spans="1:21" x14ac:dyDescent="0.2">
      <c r="A63" s="58" t="s">
        <v>2</v>
      </c>
      <c r="B63" s="59" t="s">
        <v>35</v>
      </c>
      <c r="C63" s="60">
        <v>57493.461000000003</v>
      </c>
      <c r="D63" s="61">
        <v>7.0000000000000001E-3</v>
      </c>
      <c r="E63" s="54">
        <f t="shared" si="18"/>
        <v>7374.0202854374893</v>
      </c>
      <c r="F63">
        <f t="shared" si="19"/>
        <v>7374</v>
      </c>
      <c r="G63">
        <f t="shared" si="20"/>
        <v>1.3736000000790227E-2</v>
      </c>
      <c r="I63">
        <f>+G63</f>
        <v>1.3736000000790227E-2</v>
      </c>
      <c r="O63">
        <f t="shared" ca="1" si="22"/>
        <v>1.2828086889961739E-2</v>
      </c>
      <c r="P63" s="15">
        <f t="shared" si="4"/>
        <v>1.247184202189713E-2</v>
      </c>
      <c r="Q63" s="2">
        <f t="shared" si="23"/>
        <v>42474.961000000003</v>
      </c>
      <c r="R63" s="85">
        <f t="shared" si="6"/>
        <v>1.5980953955990796E-6</v>
      </c>
      <c r="S63">
        <f>S$16</f>
        <v>0.1</v>
      </c>
      <c r="T63" s="85">
        <f t="shared" si="7"/>
        <v>1.5980953955990796E-7</v>
      </c>
    </row>
    <row r="64" spans="1:21" x14ac:dyDescent="0.2">
      <c r="A64" s="68" t="s">
        <v>0</v>
      </c>
      <c r="B64" s="69" t="s">
        <v>35</v>
      </c>
      <c r="C64" s="70">
        <v>57839.477899999998</v>
      </c>
      <c r="D64" s="70">
        <v>8.0000000000000004E-4</v>
      </c>
      <c r="E64" s="54">
        <f t="shared" si="18"/>
        <v>7885.0208820679964</v>
      </c>
      <c r="F64">
        <f t="shared" si="19"/>
        <v>7885</v>
      </c>
      <c r="G64">
        <f t="shared" si="20"/>
        <v>1.413999999203952E-2</v>
      </c>
      <c r="K64">
        <f>+G64</f>
        <v>1.413999999203952E-2</v>
      </c>
      <c r="O64">
        <f t="shared" ca="1" si="22"/>
        <v>1.5313689775386566E-2</v>
      </c>
      <c r="P64" s="15">
        <f t="shared" si="4"/>
        <v>1.4379182052270928E-2</v>
      </c>
      <c r="Q64" s="2">
        <f t="shared" si="23"/>
        <v>42820.977899999998</v>
      </c>
      <c r="R64" s="85">
        <f t="shared" si="6"/>
        <v>5.7208057936540712E-8</v>
      </c>
      <c r="S64">
        <f>S$18</f>
        <v>1</v>
      </c>
      <c r="T64" s="85">
        <f t="shared" si="7"/>
        <v>5.7208057936540712E-8</v>
      </c>
    </row>
    <row r="65" spans="1:20" x14ac:dyDescent="0.2">
      <c r="A65" s="72" t="s">
        <v>248</v>
      </c>
      <c r="C65" s="71">
        <v>58909.699200000003</v>
      </c>
      <c r="D65" s="71">
        <v>2.9999999999999997E-4</v>
      </c>
      <c r="E65" s="54">
        <f>+(C65-C$7)/C$8</f>
        <v>9465.5324779660205</v>
      </c>
      <c r="F65">
        <f t="shared" si="19"/>
        <v>9465.5</v>
      </c>
      <c r="G65">
        <f>+C65-(C$7+F65*C$8)</f>
        <v>2.1992000001773704E-2</v>
      </c>
      <c r="K65">
        <f>+G65</f>
        <v>2.1992000001773704E-2</v>
      </c>
      <c r="O65">
        <f ca="1">+C$11+C$12*$F65</f>
        <v>2.3001547623554747E-2</v>
      </c>
      <c r="P65" s="15">
        <f t="shared" si="4"/>
        <v>2.1097424811568274E-2</v>
      </c>
      <c r="Q65" s="2">
        <f>+C65-15018.5</f>
        <v>43891.199200000003</v>
      </c>
      <c r="R65" s="85">
        <f t="shared" si="6"/>
        <v>8.002647709310802E-7</v>
      </c>
      <c r="S65">
        <f>S$18</f>
        <v>1</v>
      </c>
      <c r="T65" s="85">
        <f t="shared" si="7"/>
        <v>8.002647709310802E-7</v>
      </c>
    </row>
    <row r="66" spans="1:20" x14ac:dyDescent="0.2">
      <c r="A66" s="88" t="s">
        <v>255</v>
      </c>
      <c r="B66" s="89" t="s">
        <v>35</v>
      </c>
      <c r="C66" s="90">
        <v>59271.296499999997</v>
      </c>
      <c r="D66" s="88">
        <v>1.6000000000000001E-3</v>
      </c>
      <c r="E66" s="54">
        <f t="shared" ref="E66:E69" si="25">+(C66-C$7)/C$8</f>
        <v>9999.5423371375819</v>
      </c>
      <c r="F66">
        <f t="shared" ref="F66:F69" si="26">ROUND(2*E66,0)/2</f>
        <v>9999.5</v>
      </c>
      <c r="G66">
        <f t="shared" ref="G66:G69" si="27">+C66-(C$7+F66*C$8)</f>
        <v>2.8667999991739634E-2</v>
      </c>
      <c r="K66">
        <f t="shared" ref="K66:K69" si="28">+G66</f>
        <v>2.8667999991739634E-2</v>
      </c>
      <c r="O66">
        <f t="shared" ref="O66:O69" ca="1" si="29">+C$11+C$12*$F66</f>
        <v>2.5599026959791264E-2</v>
      </c>
      <c r="P66" s="15">
        <f t="shared" ref="P66:P69" si="30">+D$11+D$12*F66+D$13*F66^2</f>
        <v>2.3647033842042114E-2</v>
      </c>
      <c r="Q66" s="2">
        <f t="shared" ref="Q66:Q69" si="31">+C66-15018.5</f>
        <v>44252.796499999997</v>
      </c>
      <c r="R66" s="85">
        <f t="shared" ref="R66:R69" si="32">+(P66-G66)^2</f>
        <v>2.5210101076408339E-5</v>
      </c>
      <c r="S66">
        <f t="shared" ref="S66:S70" si="33">S$18</f>
        <v>1</v>
      </c>
      <c r="T66" s="85">
        <f t="shared" ref="T66:T69" si="34">+S66*R66</f>
        <v>2.5210101076408339E-5</v>
      </c>
    </row>
    <row r="67" spans="1:20" x14ac:dyDescent="0.2">
      <c r="A67" s="88" t="s">
        <v>255</v>
      </c>
      <c r="B67" s="89" t="s">
        <v>35</v>
      </c>
      <c r="C67" s="90">
        <v>59271.630700000002</v>
      </c>
      <c r="D67" s="88">
        <v>5.9999999999999995E-4</v>
      </c>
      <c r="E67" s="54">
        <f t="shared" si="25"/>
        <v>10000.035886439355</v>
      </c>
      <c r="F67">
        <f t="shared" si="26"/>
        <v>10000</v>
      </c>
      <c r="G67">
        <f t="shared" si="27"/>
        <v>2.4299999997310806E-2</v>
      </c>
      <c r="K67">
        <f t="shared" si="28"/>
        <v>2.4299999997310806E-2</v>
      </c>
      <c r="O67">
        <f t="shared" ca="1" si="29"/>
        <v>2.5601459056548037E-2</v>
      </c>
      <c r="P67" s="15">
        <f t="shared" si="30"/>
        <v>2.3649487324335861E-2</v>
      </c>
      <c r="Q67" s="2">
        <f t="shared" si="31"/>
        <v>44253.130700000002</v>
      </c>
      <c r="R67" s="85">
        <f t="shared" si="32"/>
        <v>4.231667377010084E-7</v>
      </c>
      <c r="S67">
        <f t="shared" si="33"/>
        <v>1</v>
      </c>
      <c r="T67" s="85">
        <f t="shared" si="34"/>
        <v>4.231667377010084E-7</v>
      </c>
    </row>
    <row r="68" spans="1:20" x14ac:dyDescent="0.2">
      <c r="A68" s="88" t="s">
        <v>255</v>
      </c>
      <c r="B68" s="89" t="s">
        <v>35</v>
      </c>
      <c r="C68" s="90">
        <v>59273.323100000001</v>
      </c>
      <c r="D68" s="88">
        <v>1.6000000000000001E-3</v>
      </c>
      <c r="E68" s="54">
        <f t="shared" si="25"/>
        <v>10002.535236643744</v>
      </c>
      <c r="F68">
        <f t="shared" si="26"/>
        <v>10002.5</v>
      </c>
      <c r="G68">
        <f t="shared" si="27"/>
        <v>2.3860000001150183E-2</v>
      </c>
      <c r="K68">
        <f t="shared" si="28"/>
        <v>2.3860000001150183E-2</v>
      </c>
      <c r="O68">
        <f t="shared" ca="1" si="29"/>
        <v>2.5613619540331915E-2</v>
      </c>
      <c r="P68" s="15">
        <f t="shared" si="30"/>
        <v>2.3661756593837915E-2</v>
      </c>
      <c r="Q68" s="2">
        <f t="shared" si="31"/>
        <v>44254.823100000001</v>
      </c>
      <c r="R68" s="85">
        <f t="shared" si="32"/>
        <v>3.9300448542777785E-8</v>
      </c>
      <c r="S68">
        <f t="shared" si="33"/>
        <v>1</v>
      </c>
      <c r="T68" s="85">
        <f t="shared" si="34"/>
        <v>3.9300448542777785E-8</v>
      </c>
    </row>
    <row r="69" spans="1:20" x14ac:dyDescent="0.2">
      <c r="A69" s="88" t="s">
        <v>256</v>
      </c>
      <c r="B69" s="89" t="s">
        <v>35</v>
      </c>
      <c r="C69" s="90">
        <v>59298.382400000002</v>
      </c>
      <c r="D69" s="88" t="s">
        <v>257</v>
      </c>
      <c r="E69" s="54">
        <f t="shared" si="25"/>
        <v>10039.543016469364</v>
      </c>
      <c r="F69">
        <f t="shared" si="26"/>
        <v>10039.5</v>
      </c>
      <c r="G69">
        <f t="shared" si="27"/>
        <v>2.912800000194693E-2</v>
      </c>
      <c r="K69">
        <f t="shared" si="28"/>
        <v>2.912800000194693E-2</v>
      </c>
      <c r="O69">
        <f t="shared" ca="1" si="29"/>
        <v>2.5793594700333322E-2</v>
      </c>
      <c r="P69" s="15">
        <f t="shared" si="30"/>
        <v>2.3843703851227995E-2</v>
      </c>
      <c r="Q69" s="2">
        <f t="shared" si="31"/>
        <v>44279.882400000002</v>
      </c>
      <c r="R69" s="85">
        <f t="shared" si="32"/>
        <v>2.7923785808502951E-5</v>
      </c>
      <c r="S69">
        <f t="shared" si="33"/>
        <v>1</v>
      </c>
      <c r="T69" s="85">
        <f t="shared" si="34"/>
        <v>2.7923785808502951E-5</v>
      </c>
    </row>
    <row r="70" spans="1:20" x14ac:dyDescent="0.2">
      <c r="A70" s="91" t="s">
        <v>258</v>
      </c>
      <c r="B70" s="91" t="s">
        <v>35</v>
      </c>
      <c r="C70" s="92">
        <v>59995.493900000118</v>
      </c>
      <c r="D70" s="88">
        <v>5.0000000000000001E-4</v>
      </c>
      <c r="E70" s="54">
        <f t="shared" ref="E70" si="35">+(C70-C$7)/C$8</f>
        <v>11069.042998747836</v>
      </c>
      <c r="F70">
        <f t="shared" ref="F70" si="36">ROUND(2*E70,0)/2</f>
        <v>11069</v>
      </c>
      <c r="G70">
        <f t="shared" ref="G70" si="37">+C70-(C$7+F70*C$8)</f>
        <v>2.9116000114299823E-2</v>
      </c>
      <c r="K70">
        <f t="shared" ref="K70" si="38">+G70</f>
        <v>2.9116000114299823E-2</v>
      </c>
      <c r="O70">
        <f t="shared" ref="O70" ca="1" si="39">+C$11+C$12*$F70</f>
        <v>3.0801281922534611E-2</v>
      </c>
      <c r="P70" s="15">
        <f t="shared" ref="P70" si="40">+D$11+D$12*F70+D$13*F70^2</f>
        <v>2.9178269952882092E-2</v>
      </c>
      <c r="Q70" s="2">
        <f t="shared" ref="Q70" si="41">+C70-15018.5</f>
        <v>44976.993900000118</v>
      </c>
      <c r="R70" s="85">
        <f t="shared" ref="R70" si="42">+(P70-G70)^2</f>
        <v>3.877532797061938E-9</v>
      </c>
      <c r="S70">
        <f t="shared" si="33"/>
        <v>1</v>
      </c>
      <c r="T70" s="85">
        <f t="shared" ref="T70" si="43">+S70*R70</f>
        <v>3.877532797061938E-9</v>
      </c>
    </row>
    <row r="71" spans="1:20" x14ac:dyDescent="0.2">
      <c r="C71" s="93"/>
      <c r="D71" s="9"/>
      <c r="T71" s="85"/>
    </row>
    <row r="72" spans="1:20" x14ac:dyDescent="0.2">
      <c r="C72" s="93"/>
      <c r="D72" s="9"/>
      <c r="T72" s="85"/>
    </row>
    <row r="73" spans="1:20" x14ac:dyDescent="0.2">
      <c r="C73" s="9"/>
      <c r="D73" s="9"/>
      <c r="T73" s="85"/>
    </row>
    <row r="74" spans="1:20" x14ac:dyDescent="0.2">
      <c r="C74" s="9"/>
      <c r="D74" s="9"/>
      <c r="T74" s="85"/>
    </row>
    <row r="75" spans="1:20" x14ac:dyDescent="0.2">
      <c r="C75" s="9"/>
      <c r="D75" s="9"/>
      <c r="T75" s="85"/>
    </row>
    <row r="76" spans="1:20" x14ac:dyDescent="0.2">
      <c r="C76" s="9"/>
      <c r="D76" s="9"/>
      <c r="T76" s="85"/>
    </row>
    <row r="77" spans="1:20" x14ac:dyDescent="0.2">
      <c r="C77" s="9"/>
      <c r="D77" s="9"/>
      <c r="T77" s="85"/>
    </row>
    <row r="78" spans="1:20" x14ac:dyDescent="0.2">
      <c r="C78" s="9"/>
      <c r="D78" s="9"/>
      <c r="T78" s="85"/>
    </row>
    <row r="79" spans="1:20" x14ac:dyDescent="0.2">
      <c r="C79" s="9"/>
      <c r="D79" s="9"/>
      <c r="T79" s="85"/>
    </row>
    <row r="80" spans="1:20" x14ac:dyDescent="0.2">
      <c r="C80" s="9"/>
      <c r="D80" s="9"/>
      <c r="T80" s="85"/>
    </row>
    <row r="81" spans="3:20" x14ac:dyDescent="0.2">
      <c r="C81" s="9"/>
      <c r="D81" s="9"/>
      <c r="T81" s="85"/>
    </row>
    <row r="82" spans="3:20" x14ac:dyDescent="0.2">
      <c r="C82" s="9"/>
      <c r="D82" s="9"/>
      <c r="T82" s="85"/>
    </row>
    <row r="83" spans="3:20" x14ac:dyDescent="0.2">
      <c r="C83" s="9"/>
      <c r="D83" s="9"/>
      <c r="T83" s="85"/>
    </row>
    <row r="84" spans="3:20" x14ac:dyDescent="0.2">
      <c r="C84" s="9"/>
      <c r="D84" s="9"/>
      <c r="T84" s="85"/>
    </row>
    <row r="85" spans="3:20" x14ac:dyDescent="0.2">
      <c r="C85" s="9"/>
      <c r="D85" s="9"/>
      <c r="T85" s="85"/>
    </row>
    <row r="86" spans="3:20" x14ac:dyDescent="0.2">
      <c r="C86" s="9"/>
      <c r="D86" s="9"/>
      <c r="T86" s="85"/>
    </row>
    <row r="87" spans="3:20" x14ac:dyDescent="0.2">
      <c r="C87" s="9"/>
      <c r="D87" s="9"/>
      <c r="T87" s="85"/>
    </row>
    <row r="88" spans="3:20" x14ac:dyDescent="0.2">
      <c r="C88" s="9"/>
      <c r="D88" s="9"/>
      <c r="T88" s="85"/>
    </row>
    <row r="89" spans="3:20" x14ac:dyDescent="0.2">
      <c r="C89" s="9"/>
      <c r="D89" s="9"/>
      <c r="T89" s="85"/>
    </row>
    <row r="90" spans="3:20" x14ac:dyDescent="0.2">
      <c r="C90" s="9"/>
      <c r="D90" s="9"/>
      <c r="T90" s="85"/>
    </row>
    <row r="91" spans="3:20" x14ac:dyDescent="0.2">
      <c r="C91" s="9"/>
      <c r="D91" s="9"/>
      <c r="T91" s="85"/>
    </row>
    <row r="92" spans="3:20" x14ac:dyDescent="0.2">
      <c r="C92" s="9"/>
      <c r="D92" s="9"/>
      <c r="T92" s="85"/>
    </row>
    <row r="93" spans="3:20" x14ac:dyDescent="0.2">
      <c r="C93" s="9"/>
      <c r="D93" s="9"/>
      <c r="T93" s="85"/>
    </row>
    <row r="94" spans="3:20" x14ac:dyDescent="0.2">
      <c r="C94" s="9"/>
      <c r="D94" s="9"/>
      <c r="T94" s="85"/>
    </row>
    <row r="95" spans="3:20" x14ac:dyDescent="0.2">
      <c r="C95" s="9"/>
      <c r="D95" s="9"/>
      <c r="T95" s="85"/>
    </row>
    <row r="96" spans="3:20" x14ac:dyDescent="0.2">
      <c r="C96" s="9"/>
      <c r="D96" s="9"/>
      <c r="T96" s="85"/>
    </row>
    <row r="97" spans="3:20" x14ac:dyDescent="0.2">
      <c r="C97" s="9"/>
      <c r="D97" s="9"/>
      <c r="T97" s="85"/>
    </row>
    <row r="98" spans="3:20" x14ac:dyDescent="0.2">
      <c r="C98" s="9"/>
      <c r="D98" s="9"/>
      <c r="T98" s="85"/>
    </row>
    <row r="99" spans="3:20" x14ac:dyDescent="0.2">
      <c r="C99" s="9"/>
      <c r="D99" s="9"/>
      <c r="T99" s="85"/>
    </row>
    <row r="100" spans="3:20" x14ac:dyDescent="0.2">
      <c r="C100" s="9"/>
      <c r="D100" s="9"/>
      <c r="T100" s="85"/>
    </row>
    <row r="101" spans="3:20" x14ac:dyDescent="0.2">
      <c r="C101" s="9"/>
      <c r="D101" s="9"/>
      <c r="T101" s="85"/>
    </row>
    <row r="102" spans="3:20" x14ac:dyDescent="0.2">
      <c r="C102" s="9"/>
      <c r="D102" s="9"/>
      <c r="T102" s="85"/>
    </row>
    <row r="103" spans="3:20" x14ac:dyDescent="0.2">
      <c r="C103" s="9"/>
      <c r="D103" s="9"/>
      <c r="T103" s="85"/>
    </row>
    <row r="104" spans="3:20" x14ac:dyDescent="0.2">
      <c r="C104" s="9"/>
      <c r="D104" s="9"/>
      <c r="T104" s="85"/>
    </row>
    <row r="105" spans="3:20" x14ac:dyDescent="0.2">
      <c r="C105" s="9"/>
      <c r="D105" s="9"/>
      <c r="T105" s="85"/>
    </row>
    <row r="106" spans="3:20" x14ac:dyDescent="0.2">
      <c r="C106" s="9"/>
      <c r="D106" s="9"/>
      <c r="T106" s="85"/>
    </row>
    <row r="107" spans="3:20" x14ac:dyDescent="0.2">
      <c r="C107" s="9"/>
      <c r="D107" s="9"/>
      <c r="T107" s="85"/>
    </row>
    <row r="108" spans="3:20" x14ac:dyDescent="0.2">
      <c r="C108" s="9"/>
      <c r="D108" s="9"/>
      <c r="T108" s="85"/>
    </row>
    <row r="109" spans="3:20" x14ac:dyDescent="0.2">
      <c r="C109" s="9"/>
      <c r="D109" s="9"/>
      <c r="T109" s="85"/>
    </row>
    <row r="110" spans="3:20" x14ac:dyDescent="0.2">
      <c r="C110" s="9"/>
      <c r="D110" s="9"/>
      <c r="T110" s="85"/>
    </row>
    <row r="111" spans="3:20" x14ac:dyDescent="0.2">
      <c r="C111" s="9"/>
      <c r="D111" s="9"/>
    </row>
    <row r="112" spans="3:20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</sheetData>
  <phoneticPr fontId="8" type="noConversion"/>
  <hyperlinks>
    <hyperlink ref="H2709" r:id="rId1" display="http://vsolj.cetus-net.org/bulletin.html" xr:uid="{00000000-0004-0000-0000-000000000000}"/>
    <hyperlink ref="H64675" r:id="rId2" display="http://vsolj.cetus-net.org/bulletin.html" xr:uid="{00000000-0004-0000-0000-000001000000}"/>
    <hyperlink ref="H64668" r:id="rId3" display="https://www.aavso.org/ejaavso" xr:uid="{00000000-0004-0000-0000-000002000000}"/>
    <hyperlink ref="AP1526" r:id="rId4" display="http://cdsbib.u-strasbg.fr/cgi-bin/cdsbib?1990RMxAA..21..381G" xr:uid="{00000000-0004-0000-0000-000003000000}"/>
    <hyperlink ref="AP1523" r:id="rId5" display="http://cdsbib.u-strasbg.fr/cgi-bin/cdsbib?1990RMxAA..21..381G" xr:uid="{00000000-0004-0000-0000-000004000000}"/>
    <hyperlink ref="AP1525" r:id="rId6" display="http://cdsbib.u-strasbg.fr/cgi-bin/cdsbib?1990RMxAA..21..381G" xr:uid="{00000000-0004-0000-0000-000005000000}"/>
    <hyperlink ref="AP1501" r:id="rId7" display="http://cdsbib.u-strasbg.fr/cgi-bin/cdsbib?1990RMxAA..21..381G" xr:uid="{00000000-0004-0000-0000-000006000000}"/>
    <hyperlink ref="I64675" r:id="rId8" display="http://vsolj.cetus-net.org/bulletin.html" xr:uid="{00000000-0004-0000-0000-000007000000}"/>
    <hyperlink ref="AQ1662" r:id="rId9" display="http://cdsbib.u-strasbg.fr/cgi-bin/cdsbib?1990RMxAA..21..381G" xr:uid="{00000000-0004-0000-0000-000008000000}"/>
    <hyperlink ref="AQ3306" r:id="rId10" display="http://cdsbib.u-strasbg.fr/cgi-bin/cdsbib?1990RMxAA..21..381G" xr:uid="{00000000-0004-0000-0000-000009000000}"/>
    <hyperlink ref="AQ1663" r:id="rId11" display="http://cdsbib.u-strasbg.fr/cgi-bin/cdsbib?1990RMxAA..21..381G" xr:uid="{00000000-0004-0000-0000-00000A000000}"/>
    <hyperlink ref="H64672" r:id="rId12" display="https://www.aavso.org/ejaavso" xr:uid="{00000000-0004-0000-0000-00000B000000}"/>
    <hyperlink ref="H2513" r:id="rId13" display="http://vsolj.cetus-net.org/bulletin.html" xr:uid="{00000000-0004-0000-0000-00000C000000}"/>
    <hyperlink ref="AP5751" r:id="rId14" display="http://cdsbib.u-strasbg.fr/cgi-bin/cdsbib?1990RMxAA..21..381G" xr:uid="{00000000-0004-0000-0000-00000D000000}"/>
    <hyperlink ref="AP5754" r:id="rId15" display="http://cdsbib.u-strasbg.fr/cgi-bin/cdsbib?1990RMxAA..21..381G" xr:uid="{00000000-0004-0000-0000-00000E000000}"/>
    <hyperlink ref="AP5752" r:id="rId16" display="http://cdsbib.u-strasbg.fr/cgi-bin/cdsbib?1990RMxAA..21..381G" xr:uid="{00000000-0004-0000-0000-00000F000000}"/>
    <hyperlink ref="AP5730" r:id="rId17" display="http://cdsbib.u-strasbg.fr/cgi-bin/cdsbib?1990RMxAA..21..381G" xr:uid="{00000000-0004-0000-0000-000010000000}"/>
    <hyperlink ref="I2513" r:id="rId18" display="http://vsolj.cetus-net.org/bulletin.html" xr:uid="{00000000-0004-0000-0000-000011000000}"/>
    <hyperlink ref="AQ5864" r:id="rId19" display="http://cdsbib.u-strasbg.fr/cgi-bin/cdsbib?1990RMxAA..21..381G" xr:uid="{00000000-0004-0000-0000-000012000000}"/>
    <hyperlink ref="AQ416" r:id="rId20" display="http://cdsbib.u-strasbg.fr/cgi-bin/cdsbib?1990RMxAA..21..381G" xr:uid="{00000000-0004-0000-0000-000013000000}"/>
    <hyperlink ref="AQ5865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1"/>
  <sheetViews>
    <sheetView workbookViewId="0">
      <selection activeCell="A38" sqref="A38:D46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7" t="s">
        <v>58</v>
      </c>
      <c r="I1" s="38" t="s">
        <v>59</v>
      </c>
      <c r="J1" s="39" t="s">
        <v>60</v>
      </c>
    </row>
    <row r="2" spans="1:16" x14ac:dyDescent="0.2">
      <c r="I2" s="40" t="s">
        <v>61</v>
      </c>
      <c r="J2" s="41" t="s">
        <v>62</v>
      </c>
    </row>
    <row r="3" spans="1:16" x14ac:dyDescent="0.2">
      <c r="A3" s="42" t="s">
        <v>63</v>
      </c>
      <c r="I3" s="40" t="s">
        <v>64</v>
      </c>
      <c r="J3" s="41" t="s">
        <v>65</v>
      </c>
    </row>
    <row r="4" spans="1:16" x14ac:dyDescent="0.2">
      <c r="I4" s="40" t="s">
        <v>66</v>
      </c>
      <c r="J4" s="41" t="s">
        <v>65</v>
      </c>
    </row>
    <row r="5" spans="1:16" ht="13.5" thickBot="1" x14ac:dyDescent="0.25">
      <c r="I5" s="43" t="s">
        <v>67</v>
      </c>
      <c r="J5" s="44" t="s">
        <v>68</v>
      </c>
    </row>
    <row r="10" spans="1:16" ht="13.5" thickBot="1" x14ac:dyDescent="0.25"/>
    <row r="11" spans="1:16" ht="12.75" customHeight="1" thickBot="1" x14ac:dyDescent="0.25">
      <c r="A11" s="9" t="str">
        <f t="shared" ref="A11:A46" si="0">P11</f>
        <v>IBVS 5258 </v>
      </c>
      <c r="B11" s="3" t="str">
        <f t="shared" ref="B11:B46" si="1">IF(H11=INT(H11),"I","II")</f>
        <v>I</v>
      </c>
      <c r="C11" s="9">
        <f t="shared" ref="C11:C46" si="2">1*G11</f>
        <v>52292.366999999998</v>
      </c>
      <c r="D11" s="11" t="str">
        <f t="shared" ref="D11:D46" si="3">VLOOKUP(F11,I$1:J$5,2,FALSE)</f>
        <v>vis</v>
      </c>
      <c r="E11" s="45">
        <f>VLOOKUP(C11,Active!C$21:E$973,3,FALSE)</f>
        <v>-306.99800335531603</v>
      </c>
      <c r="F11" s="3" t="s">
        <v>67</v>
      </c>
      <c r="G11" s="11" t="str">
        <f t="shared" ref="G11:G46" si="4">MID(I11,3,LEN(I11)-3)</f>
        <v>52292.3670</v>
      </c>
      <c r="H11" s="9">
        <f t="shared" ref="H11:H46" si="5">1*K11</f>
        <v>-307</v>
      </c>
      <c r="I11" s="46" t="s">
        <v>78</v>
      </c>
      <c r="J11" s="47" t="s">
        <v>79</v>
      </c>
      <c r="K11" s="46">
        <v>-307</v>
      </c>
      <c r="L11" s="46" t="s">
        <v>80</v>
      </c>
      <c r="M11" s="47" t="s">
        <v>81</v>
      </c>
      <c r="N11" s="47" t="s">
        <v>82</v>
      </c>
      <c r="O11" s="48" t="s">
        <v>83</v>
      </c>
      <c r="P11" s="49" t="s">
        <v>84</v>
      </c>
    </row>
    <row r="12" spans="1:16" ht="12.75" customHeight="1" thickBot="1" x14ac:dyDescent="0.25">
      <c r="A12" s="9" t="str">
        <f t="shared" si="0"/>
        <v>IBVS 5258 </v>
      </c>
      <c r="B12" s="3" t="str">
        <f t="shared" si="1"/>
        <v>I</v>
      </c>
      <c r="C12" s="9">
        <f t="shared" si="2"/>
        <v>52304.556299999997</v>
      </c>
      <c r="D12" s="11" t="str">
        <f t="shared" si="3"/>
        <v>vis</v>
      </c>
      <c r="E12" s="45">
        <f>VLOOKUP(C12,Active!C$21:E$973,3,FALSE)</f>
        <v>-288.99674511472892</v>
      </c>
      <c r="F12" s="3" t="s">
        <v>67</v>
      </c>
      <c r="G12" s="11" t="str">
        <f t="shared" si="4"/>
        <v>52304.5563</v>
      </c>
      <c r="H12" s="9">
        <f t="shared" si="5"/>
        <v>-289</v>
      </c>
      <c r="I12" s="46" t="s">
        <v>85</v>
      </c>
      <c r="J12" s="47" t="s">
        <v>86</v>
      </c>
      <c r="K12" s="46">
        <v>-289</v>
      </c>
      <c r="L12" s="46" t="s">
        <v>87</v>
      </c>
      <c r="M12" s="47" t="s">
        <v>81</v>
      </c>
      <c r="N12" s="47" t="s">
        <v>82</v>
      </c>
      <c r="O12" s="48" t="s">
        <v>83</v>
      </c>
      <c r="P12" s="49" t="s">
        <v>84</v>
      </c>
    </row>
    <row r="13" spans="1:16" ht="12.75" customHeight="1" thickBot="1" x14ac:dyDescent="0.25">
      <c r="A13" s="9" t="str">
        <f t="shared" si="0"/>
        <v>IBVS 5258 </v>
      </c>
      <c r="B13" s="3" t="str">
        <f t="shared" si="1"/>
        <v>I</v>
      </c>
      <c r="C13" s="9">
        <f t="shared" si="2"/>
        <v>52307.261100000003</v>
      </c>
      <c r="D13" s="11" t="str">
        <f t="shared" si="3"/>
        <v>vis</v>
      </c>
      <c r="E13" s="45">
        <f>VLOOKUP(C13,Active!C$21:E$973,3,FALSE)</f>
        <v>-285.00227428463455</v>
      </c>
      <c r="F13" s="3" t="s">
        <v>67</v>
      </c>
      <c r="G13" s="11" t="str">
        <f t="shared" si="4"/>
        <v>52307.2611</v>
      </c>
      <c r="H13" s="9">
        <f t="shared" si="5"/>
        <v>-285</v>
      </c>
      <c r="I13" s="46" t="s">
        <v>88</v>
      </c>
      <c r="J13" s="47" t="s">
        <v>89</v>
      </c>
      <c r="K13" s="46">
        <v>-285</v>
      </c>
      <c r="L13" s="46" t="s">
        <v>90</v>
      </c>
      <c r="M13" s="47" t="s">
        <v>81</v>
      </c>
      <c r="N13" s="47" t="s">
        <v>82</v>
      </c>
      <c r="O13" s="48" t="s">
        <v>83</v>
      </c>
      <c r="P13" s="49" t="s">
        <v>84</v>
      </c>
    </row>
    <row r="14" spans="1:16" ht="12.75" customHeight="1" thickBot="1" x14ac:dyDescent="0.25">
      <c r="A14" s="9" t="str">
        <f t="shared" si="0"/>
        <v>IBVS 5258 </v>
      </c>
      <c r="B14" s="3" t="str">
        <f t="shared" si="1"/>
        <v>II</v>
      </c>
      <c r="C14" s="9">
        <f t="shared" si="2"/>
        <v>52310.310700000002</v>
      </c>
      <c r="D14" s="11" t="str">
        <f t="shared" si="3"/>
        <v>vis</v>
      </c>
      <c r="E14" s="45">
        <f>VLOOKUP(C14,Active!C$21:E$973,3,FALSE)</f>
        <v>-280.49859998582536</v>
      </c>
      <c r="F14" s="3" t="s">
        <v>67</v>
      </c>
      <c r="G14" s="11" t="str">
        <f t="shared" si="4"/>
        <v>52310.3107</v>
      </c>
      <c r="H14" s="9">
        <f t="shared" si="5"/>
        <v>-280.5</v>
      </c>
      <c r="I14" s="46" t="s">
        <v>91</v>
      </c>
      <c r="J14" s="47" t="s">
        <v>92</v>
      </c>
      <c r="K14" s="46">
        <v>-280.5</v>
      </c>
      <c r="L14" s="46" t="s">
        <v>93</v>
      </c>
      <c r="M14" s="47" t="s">
        <v>81</v>
      </c>
      <c r="N14" s="47" t="s">
        <v>82</v>
      </c>
      <c r="O14" s="48" t="s">
        <v>83</v>
      </c>
      <c r="P14" s="49" t="s">
        <v>84</v>
      </c>
    </row>
    <row r="15" spans="1:16" ht="12.75" customHeight="1" thickBot="1" x14ac:dyDescent="0.25">
      <c r="A15" s="9" t="str">
        <f t="shared" si="0"/>
        <v>IBVS 5341 </v>
      </c>
      <c r="B15" s="3" t="str">
        <f t="shared" si="1"/>
        <v>I</v>
      </c>
      <c r="C15" s="9">
        <f t="shared" si="2"/>
        <v>52445.394699999997</v>
      </c>
      <c r="D15" s="11" t="str">
        <f t="shared" si="3"/>
        <v>vis</v>
      </c>
      <c r="E15" s="45">
        <f>VLOOKUP(C15,Active!C$21:E$973,3,FALSE)</f>
        <v>-81.005440561433062</v>
      </c>
      <c r="F15" s="3" t="s">
        <v>67</v>
      </c>
      <c r="G15" s="11" t="str">
        <f t="shared" si="4"/>
        <v>52445.3947</v>
      </c>
      <c r="H15" s="9">
        <f t="shared" si="5"/>
        <v>-81</v>
      </c>
      <c r="I15" s="46" t="s">
        <v>94</v>
      </c>
      <c r="J15" s="47" t="s">
        <v>95</v>
      </c>
      <c r="K15" s="46">
        <v>-81</v>
      </c>
      <c r="L15" s="46" t="s">
        <v>96</v>
      </c>
      <c r="M15" s="47" t="s">
        <v>81</v>
      </c>
      <c r="N15" s="47" t="s">
        <v>82</v>
      </c>
      <c r="O15" s="48" t="s">
        <v>83</v>
      </c>
      <c r="P15" s="49" t="s">
        <v>97</v>
      </c>
    </row>
    <row r="16" spans="1:16" ht="12.75" customHeight="1" thickBot="1" x14ac:dyDescent="0.25">
      <c r="A16" s="9" t="str">
        <f t="shared" si="0"/>
        <v>IBVS 5623 </v>
      </c>
      <c r="B16" s="3" t="str">
        <f t="shared" si="1"/>
        <v>II</v>
      </c>
      <c r="C16" s="9">
        <f t="shared" si="2"/>
        <v>53056.514900000002</v>
      </c>
      <c r="D16" s="11" t="str">
        <f t="shared" si="3"/>
        <v>vis</v>
      </c>
      <c r="E16" s="45">
        <f>VLOOKUP(C16,Active!C$21:E$973,3,FALSE)</f>
        <v>821.50188440726583</v>
      </c>
      <c r="F16" s="3" t="s">
        <v>67</v>
      </c>
      <c r="G16" s="11" t="str">
        <f t="shared" si="4"/>
        <v>53056.5149</v>
      </c>
      <c r="H16" s="9">
        <f t="shared" si="5"/>
        <v>821.5</v>
      </c>
      <c r="I16" s="46" t="s">
        <v>98</v>
      </c>
      <c r="J16" s="47" t="s">
        <v>99</v>
      </c>
      <c r="K16" s="46">
        <v>821.5</v>
      </c>
      <c r="L16" s="46" t="s">
        <v>100</v>
      </c>
      <c r="M16" s="47" t="s">
        <v>81</v>
      </c>
      <c r="N16" s="47" t="s">
        <v>82</v>
      </c>
      <c r="O16" s="48" t="s">
        <v>101</v>
      </c>
      <c r="P16" s="49" t="s">
        <v>102</v>
      </c>
    </row>
    <row r="17" spans="1:16" ht="12.75" customHeight="1" thickBot="1" x14ac:dyDescent="0.25">
      <c r="A17" s="9" t="str">
        <f t="shared" si="0"/>
        <v>BAVM 178 </v>
      </c>
      <c r="B17" s="3" t="str">
        <f t="shared" si="1"/>
        <v>I</v>
      </c>
      <c r="C17" s="9">
        <f t="shared" si="2"/>
        <v>53846.392800000001</v>
      </c>
      <c r="D17" s="11" t="str">
        <f t="shared" si="3"/>
        <v>vis</v>
      </c>
      <c r="E17" s="45">
        <f>VLOOKUP(C17,Active!C$21:E$973,3,FALSE)</f>
        <v>1988.0000472578595</v>
      </c>
      <c r="F17" s="3" t="s">
        <v>67</v>
      </c>
      <c r="G17" s="11" t="str">
        <f t="shared" si="4"/>
        <v>53846.3928</v>
      </c>
      <c r="H17" s="9">
        <f t="shared" si="5"/>
        <v>1988</v>
      </c>
      <c r="I17" s="46" t="s">
        <v>103</v>
      </c>
      <c r="J17" s="47" t="s">
        <v>104</v>
      </c>
      <c r="K17" s="46">
        <v>1988</v>
      </c>
      <c r="L17" s="46" t="s">
        <v>105</v>
      </c>
      <c r="M17" s="47" t="s">
        <v>106</v>
      </c>
      <c r="N17" s="47" t="s">
        <v>107</v>
      </c>
      <c r="O17" s="48" t="s">
        <v>108</v>
      </c>
      <c r="P17" s="49" t="s">
        <v>109</v>
      </c>
    </row>
    <row r="18" spans="1:16" ht="12.75" customHeight="1" thickBot="1" x14ac:dyDescent="0.25">
      <c r="A18" s="9" t="str">
        <f t="shared" si="0"/>
        <v>IBVS 5898 </v>
      </c>
      <c r="B18" s="3" t="str">
        <f t="shared" si="1"/>
        <v>I</v>
      </c>
      <c r="C18" s="9">
        <f t="shared" si="2"/>
        <v>54500.505499999999</v>
      </c>
      <c r="D18" s="11" t="str">
        <f t="shared" si="3"/>
        <v>vis</v>
      </c>
      <c r="E18" s="45">
        <f>VLOOKUP(C18,Active!C$21:E$973,3,FALSE)</f>
        <v>2953.9990489355105</v>
      </c>
      <c r="F18" s="3" t="s">
        <v>67</v>
      </c>
      <c r="G18" s="11" t="str">
        <f t="shared" si="4"/>
        <v>54500.5055</v>
      </c>
      <c r="H18" s="9">
        <f t="shared" si="5"/>
        <v>2954</v>
      </c>
      <c r="I18" s="46" t="s">
        <v>110</v>
      </c>
      <c r="J18" s="47" t="s">
        <v>111</v>
      </c>
      <c r="K18" s="46" t="s">
        <v>112</v>
      </c>
      <c r="L18" s="46" t="s">
        <v>113</v>
      </c>
      <c r="M18" s="47" t="s">
        <v>106</v>
      </c>
      <c r="N18" s="47" t="s">
        <v>114</v>
      </c>
      <c r="O18" s="48" t="s">
        <v>115</v>
      </c>
      <c r="P18" s="49" t="s">
        <v>116</v>
      </c>
    </row>
    <row r="19" spans="1:16" ht="12.75" customHeight="1" thickBot="1" x14ac:dyDescent="0.25">
      <c r="A19" s="9" t="str">
        <f t="shared" si="0"/>
        <v>IBVS 5938 </v>
      </c>
      <c r="B19" s="3" t="str">
        <f t="shared" si="1"/>
        <v>II</v>
      </c>
      <c r="C19" s="9">
        <f t="shared" si="2"/>
        <v>54895.616499999996</v>
      </c>
      <c r="D19" s="11" t="str">
        <f t="shared" si="3"/>
        <v>vis</v>
      </c>
      <c r="E19" s="45">
        <f>VLOOKUP(C19,Active!C$21:E$973,3,FALSE)</f>
        <v>3537.5022152122956</v>
      </c>
      <c r="F19" s="3" t="s">
        <v>67</v>
      </c>
      <c r="G19" s="11" t="str">
        <f t="shared" si="4"/>
        <v>54895.6165</v>
      </c>
      <c r="H19" s="9">
        <f t="shared" si="5"/>
        <v>3537.5</v>
      </c>
      <c r="I19" s="46" t="s">
        <v>117</v>
      </c>
      <c r="J19" s="47" t="s">
        <v>118</v>
      </c>
      <c r="K19" s="46" t="s">
        <v>119</v>
      </c>
      <c r="L19" s="46" t="s">
        <v>120</v>
      </c>
      <c r="M19" s="47" t="s">
        <v>106</v>
      </c>
      <c r="N19" s="47" t="s">
        <v>67</v>
      </c>
      <c r="O19" s="48" t="s">
        <v>121</v>
      </c>
      <c r="P19" s="49" t="s">
        <v>122</v>
      </c>
    </row>
    <row r="20" spans="1:16" ht="12.75" customHeight="1" thickBot="1" x14ac:dyDescent="0.25">
      <c r="A20" s="9" t="str">
        <f t="shared" si="0"/>
        <v>IBVS 5980 </v>
      </c>
      <c r="B20" s="3" t="str">
        <f t="shared" si="1"/>
        <v>I</v>
      </c>
      <c r="C20" s="9">
        <f t="shared" si="2"/>
        <v>55264.319000000003</v>
      </c>
      <c r="D20" s="11" t="str">
        <f t="shared" si="3"/>
        <v>vis</v>
      </c>
      <c r="E20" s="45">
        <f>VLOOKUP(C20,Active!C$21:E$973,3,FALSE)</f>
        <v>4082.0050920346866</v>
      </c>
      <c r="F20" s="3" t="s">
        <v>67</v>
      </c>
      <c r="G20" s="11" t="str">
        <f t="shared" si="4"/>
        <v>55264.3190</v>
      </c>
      <c r="H20" s="9">
        <f t="shared" si="5"/>
        <v>4082</v>
      </c>
      <c r="I20" s="46" t="s">
        <v>123</v>
      </c>
      <c r="J20" s="47" t="s">
        <v>124</v>
      </c>
      <c r="K20" s="46" t="s">
        <v>125</v>
      </c>
      <c r="L20" s="46" t="s">
        <v>126</v>
      </c>
      <c r="M20" s="47" t="s">
        <v>106</v>
      </c>
      <c r="N20" s="47" t="s">
        <v>127</v>
      </c>
      <c r="O20" s="48" t="s">
        <v>115</v>
      </c>
      <c r="P20" s="49" t="s">
        <v>128</v>
      </c>
    </row>
    <row r="21" spans="1:16" ht="12.75" customHeight="1" thickBot="1" x14ac:dyDescent="0.25">
      <c r="A21" s="9" t="str">
        <f t="shared" si="0"/>
        <v>IBVS 5974 </v>
      </c>
      <c r="B21" s="3" t="str">
        <f t="shared" si="1"/>
        <v>II</v>
      </c>
      <c r="C21" s="9">
        <f t="shared" si="2"/>
        <v>55287.679700000001</v>
      </c>
      <c r="D21" s="11" t="str">
        <f t="shared" si="3"/>
        <v>vis</v>
      </c>
      <c r="E21" s="45">
        <f>VLOOKUP(C21,Active!C$21:E$973,3,FALSE)</f>
        <v>4116.5043654450465</v>
      </c>
      <c r="F21" s="3" t="s">
        <v>67</v>
      </c>
      <c r="G21" s="11" t="str">
        <f t="shared" si="4"/>
        <v>55287.6797</v>
      </c>
      <c r="H21" s="9">
        <f t="shared" si="5"/>
        <v>4116.5</v>
      </c>
      <c r="I21" s="46" t="s">
        <v>129</v>
      </c>
      <c r="J21" s="47" t="s">
        <v>130</v>
      </c>
      <c r="K21" s="46" t="s">
        <v>131</v>
      </c>
      <c r="L21" s="46" t="s">
        <v>132</v>
      </c>
      <c r="M21" s="47" t="s">
        <v>106</v>
      </c>
      <c r="N21" s="47" t="s">
        <v>67</v>
      </c>
      <c r="O21" s="48" t="s">
        <v>121</v>
      </c>
      <c r="P21" s="49" t="s">
        <v>133</v>
      </c>
    </row>
    <row r="22" spans="1:16" ht="12.75" customHeight="1" thickBot="1" x14ac:dyDescent="0.25">
      <c r="A22" s="9" t="str">
        <f t="shared" si="0"/>
        <v>IBVS 5980 </v>
      </c>
      <c r="B22" s="3" t="str">
        <f t="shared" si="1"/>
        <v>II</v>
      </c>
      <c r="C22" s="9">
        <f t="shared" si="2"/>
        <v>55294.451399999998</v>
      </c>
      <c r="D22" s="11" t="str">
        <f t="shared" si="3"/>
        <v>vis</v>
      </c>
      <c r="E22" s="45">
        <f>VLOOKUP(C22,Active!C$21:E$973,3,FALSE)</f>
        <v>4126.5048675598327</v>
      </c>
      <c r="F22" s="3" t="s">
        <v>67</v>
      </c>
      <c r="G22" s="11" t="str">
        <f t="shared" si="4"/>
        <v>55294.4514</v>
      </c>
      <c r="H22" s="9">
        <f t="shared" si="5"/>
        <v>4126.5</v>
      </c>
      <c r="I22" s="46" t="s">
        <v>134</v>
      </c>
      <c r="J22" s="47" t="s">
        <v>135</v>
      </c>
      <c r="K22" s="46" t="s">
        <v>136</v>
      </c>
      <c r="L22" s="46" t="s">
        <v>137</v>
      </c>
      <c r="M22" s="47" t="s">
        <v>106</v>
      </c>
      <c r="N22" s="47" t="s">
        <v>127</v>
      </c>
      <c r="O22" s="48" t="s">
        <v>115</v>
      </c>
      <c r="P22" s="49" t="s">
        <v>128</v>
      </c>
    </row>
    <row r="23" spans="1:16" ht="12.75" customHeight="1" thickBot="1" x14ac:dyDescent="0.25">
      <c r="A23" s="9" t="str">
        <f t="shared" si="0"/>
        <v>IBVS 5980 </v>
      </c>
      <c r="B23" s="3" t="str">
        <f t="shared" si="1"/>
        <v>II</v>
      </c>
      <c r="C23" s="9">
        <f t="shared" si="2"/>
        <v>55474.567300000002</v>
      </c>
      <c r="D23" s="11" t="str">
        <f t="shared" si="3"/>
        <v>vis</v>
      </c>
      <c r="E23" s="45">
        <f>VLOOKUP(C23,Active!C$21:E$973,3,FALSE)</f>
        <v>4392.5015063443661</v>
      </c>
      <c r="F23" s="3" t="s">
        <v>67</v>
      </c>
      <c r="G23" s="11" t="str">
        <f t="shared" si="4"/>
        <v>55474.5673</v>
      </c>
      <c r="H23" s="9">
        <f t="shared" si="5"/>
        <v>4392.5</v>
      </c>
      <c r="I23" s="46" t="s">
        <v>138</v>
      </c>
      <c r="J23" s="47" t="s">
        <v>139</v>
      </c>
      <c r="K23" s="46" t="s">
        <v>140</v>
      </c>
      <c r="L23" s="46" t="s">
        <v>141</v>
      </c>
      <c r="M23" s="47" t="s">
        <v>106</v>
      </c>
      <c r="N23" s="47" t="s">
        <v>127</v>
      </c>
      <c r="O23" s="48" t="s">
        <v>115</v>
      </c>
      <c r="P23" s="49" t="s">
        <v>128</v>
      </c>
    </row>
    <row r="24" spans="1:16" ht="12.75" customHeight="1" thickBot="1" x14ac:dyDescent="0.25">
      <c r="A24" s="9" t="str">
        <f t="shared" si="0"/>
        <v>BAVM 220 </v>
      </c>
      <c r="B24" s="3" t="str">
        <f t="shared" si="1"/>
        <v>I</v>
      </c>
      <c r="C24" s="9">
        <f t="shared" si="2"/>
        <v>55654.351300000002</v>
      </c>
      <c r="D24" s="11" t="str">
        <f t="shared" si="3"/>
        <v>vis</v>
      </c>
      <c r="E24" s="45">
        <f>VLOOKUP(C24,Active!C$21:E$973,3,FALSE)</f>
        <v>4658.0079924859974</v>
      </c>
      <c r="F24" s="3" t="s">
        <v>67</v>
      </c>
      <c r="G24" s="11" t="str">
        <f t="shared" si="4"/>
        <v>55654.3513</v>
      </c>
      <c r="H24" s="9">
        <f t="shared" si="5"/>
        <v>4658</v>
      </c>
      <c r="I24" s="46" t="s">
        <v>148</v>
      </c>
      <c r="J24" s="47" t="s">
        <v>149</v>
      </c>
      <c r="K24" s="46" t="s">
        <v>150</v>
      </c>
      <c r="L24" s="46" t="s">
        <v>151</v>
      </c>
      <c r="M24" s="47" t="s">
        <v>106</v>
      </c>
      <c r="N24" s="47" t="s">
        <v>107</v>
      </c>
      <c r="O24" s="48" t="s">
        <v>108</v>
      </c>
      <c r="P24" s="49" t="s">
        <v>152</v>
      </c>
    </row>
    <row r="25" spans="1:16" ht="12.75" customHeight="1" thickBot="1" x14ac:dyDescent="0.25">
      <c r="A25" s="9" t="str">
        <f t="shared" si="0"/>
        <v>IBVS 6095 </v>
      </c>
      <c r="B25" s="3" t="str">
        <f t="shared" si="1"/>
        <v>II</v>
      </c>
      <c r="C25" s="9">
        <f t="shared" si="2"/>
        <v>55929.606500000002</v>
      </c>
      <c r="D25" s="11" t="str">
        <f t="shared" si="3"/>
        <v>vis</v>
      </c>
      <c r="E25" s="45">
        <f>VLOOKUP(C25,Active!C$21:E$973,3,FALSE)</f>
        <v>5064.507130030006</v>
      </c>
      <c r="F25" s="3" t="s">
        <v>67</v>
      </c>
      <c r="G25" s="11" t="str">
        <f t="shared" si="4"/>
        <v>55929.6065</v>
      </c>
      <c r="H25" s="9">
        <f t="shared" si="5"/>
        <v>5064.5</v>
      </c>
      <c r="I25" s="46" t="s">
        <v>159</v>
      </c>
      <c r="J25" s="47" t="s">
        <v>160</v>
      </c>
      <c r="K25" s="46" t="s">
        <v>161</v>
      </c>
      <c r="L25" s="46" t="s">
        <v>162</v>
      </c>
      <c r="M25" s="47" t="s">
        <v>106</v>
      </c>
      <c r="N25" s="47" t="s">
        <v>163</v>
      </c>
      <c r="O25" s="48" t="s">
        <v>164</v>
      </c>
      <c r="P25" s="49" t="s">
        <v>165</v>
      </c>
    </row>
    <row r="26" spans="1:16" ht="12.75" customHeight="1" thickBot="1" x14ac:dyDescent="0.25">
      <c r="A26" s="9" t="str">
        <f t="shared" si="0"/>
        <v>IBVS 6095 </v>
      </c>
      <c r="B26" s="3" t="str">
        <f t="shared" si="1"/>
        <v>II</v>
      </c>
      <c r="C26" s="9">
        <f t="shared" si="2"/>
        <v>55930.2817</v>
      </c>
      <c r="D26" s="11" t="str">
        <f t="shared" si="3"/>
        <v>vis</v>
      </c>
      <c r="E26" s="45">
        <f>VLOOKUP(C26,Active!C$21:E$973,3,FALSE)</f>
        <v>5065.5042709293202</v>
      </c>
      <c r="F26" s="3" t="s">
        <v>67</v>
      </c>
      <c r="G26" s="11" t="str">
        <f t="shared" si="4"/>
        <v>55930.2817</v>
      </c>
      <c r="H26" s="9">
        <f t="shared" si="5"/>
        <v>5065.5</v>
      </c>
      <c r="I26" s="46" t="s">
        <v>166</v>
      </c>
      <c r="J26" s="47" t="s">
        <v>167</v>
      </c>
      <c r="K26" s="46" t="s">
        <v>168</v>
      </c>
      <c r="L26" s="46" t="s">
        <v>169</v>
      </c>
      <c r="M26" s="47" t="s">
        <v>106</v>
      </c>
      <c r="N26" s="47" t="s">
        <v>163</v>
      </c>
      <c r="O26" s="48" t="s">
        <v>164</v>
      </c>
      <c r="P26" s="49" t="s">
        <v>165</v>
      </c>
    </row>
    <row r="27" spans="1:16" ht="12.75" customHeight="1" thickBot="1" x14ac:dyDescent="0.25">
      <c r="A27" s="9" t="str">
        <f t="shared" si="0"/>
        <v>IBVS 6095 </v>
      </c>
      <c r="B27" s="3" t="str">
        <f t="shared" si="1"/>
        <v>I</v>
      </c>
      <c r="C27" s="9">
        <f t="shared" si="2"/>
        <v>55930.624000000003</v>
      </c>
      <c r="D27" s="11" t="str">
        <f t="shared" si="3"/>
        <v>vis</v>
      </c>
      <c r="E27" s="45">
        <f>VLOOKUP(C27,Active!C$21:E$973,3,FALSE)</f>
        <v>5066.0097823775432</v>
      </c>
      <c r="F27" s="3" t="s">
        <v>67</v>
      </c>
      <c r="G27" s="11" t="str">
        <f t="shared" si="4"/>
        <v>55930.6240</v>
      </c>
      <c r="H27" s="9">
        <f t="shared" si="5"/>
        <v>5066</v>
      </c>
      <c r="I27" s="46" t="s">
        <v>170</v>
      </c>
      <c r="J27" s="47" t="s">
        <v>171</v>
      </c>
      <c r="K27" s="46" t="s">
        <v>172</v>
      </c>
      <c r="L27" s="46" t="s">
        <v>173</v>
      </c>
      <c r="M27" s="47" t="s">
        <v>106</v>
      </c>
      <c r="N27" s="47" t="s">
        <v>163</v>
      </c>
      <c r="O27" s="48" t="s">
        <v>164</v>
      </c>
      <c r="P27" s="49" t="s">
        <v>165</v>
      </c>
    </row>
    <row r="28" spans="1:16" ht="12.75" customHeight="1" thickBot="1" x14ac:dyDescent="0.25">
      <c r="A28" s="9" t="str">
        <f t="shared" si="0"/>
        <v>IBVS 6095 </v>
      </c>
      <c r="B28" s="3" t="str">
        <f t="shared" si="1"/>
        <v>I</v>
      </c>
      <c r="C28" s="9">
        <f t="shared" si="2"/>
        <v>55935.364200000004</v>
      </c>
      <c r="D28" s="11" t="str">
        <f t="shared" si="3"/>
        <v>vis</v>
      </c>
      <c r="E28" s="45">
        <f>VLOOKUP(C28,Active!C$21:E$973,3,FALSE)</f>
        <v>5073.0101486259782</v>
      </c>
      <c r="F28" s="3" t="s">
        <v>67</v>
      </c>
      <c r="G28" s="11" t="str">
        <f t="shared" si="4"/>
        <v>55935.3642</v>
      </c>
      <c r="H28" s="9">
        <f t="shared" si="5"/>
        <v>5073</v>
      </c>
      <c r="I28" s="46" t="s">
        <v>189</v>
      </c>
      <c r="J28" s="47" t="s">
        <v>190</v>
      </c>
      <c r="K28" s="46" t="s">
        <v>187</v>
      </c>
      <c r="L28" s="46" t="s">
        <v>191</v>
      </c>
      <c r="M28" s="47" t="s">
        <v>106</v>
      </c>
      <c r="N28" s="47" t="s">
        <v>163</v>
      </c>
      <c r="O28" s="48" t="s">
        <v>164</v>
      </c>
      <c r="P28" s="49" t="s">
        <v>165</v>
      </c>
    </row>
    <row r="29" spans="1:16" ht="12.75" customHeight="1" thickBot="1" x14ac:dyDescent="0.25">
      <c r="A29" s="9" t="str">
        <f t="shared" si="0"/>
        <v>IBVS 6044 </v>
      </c>
      <c r="B29" s="3" t="str">
        <f t="shared" si="1"/>
        <v>II</v>
      </c>
      <c r="C29" s="9">
        <f t="shared" si="2"/>
        <v>55995.289599999996</v>
      </c>
      <c r="D29" s="11" t="str">
        <f t="shared" si="3"/>
        <v>vis</v>
      </c>
      <c r="E29" s="45">
        <f>VLOOKUP(C29,Active!C$21:E$973,3,FALSE)</f>
        <v>5161.5084709718476</v>
      </c>
      <c r="F29" s="3" t="s">
        <v>67</v>
      </c>
      <c r="G29" s="11" t="str">
        <f t="shared" si="4"/>
        <v>55995.2896</v>
      </c>
      <c r="H29" s="9">
        <f t="shared" si="5"/>
        <v>5161.5</v>
      </c>
      <c r="I29" s="46" t="s">
        <v>192</v>
      </c>
      <c r="J29" s="47" t="s">
        <v>193</v>
      </c>
      <c r="K29" s="46" t="s">
        <v>194</v>
      </c>
      <c r="L29" s="46" t="s">
        <v>195</v>
      </c>
      <c r="M29" s="47" t="s">
        <v>106</v>
      </c>
      <c r="N29" s="47" t="s">
        <v>127</v>
      </c>
      <c r="O29" s="48" t="s">
        <v>115</v>
      </c>
      <c r="P29" s="49" t="s">
        <v>196</v>
      </c>
    </row>
    <row r="30" spans="1:16" ht="12.75" customHeight="1" thickBot="1" x14ac:dyDescent="0.25">
      <c r="A30" s="9" t="str">
        <f t="shared" si="0"/>
        <v>BAVM 231 </v>
      </c>
      <c r="B30" s="3" t="str">
        <f t="shared" si="1"/>
        <v>I</v>
      </c>
      <c r="C30" s="9">
        <f t="shared" si="2"/>
        <v>56010.5265</v>
      </c>
      <c r="D30" s="11" t="str">
        <f t="shared" si="3"/>
        <v>vis</v>
      </c>
      <c r="E30" s="45">
        <f>VLOOKUP(C30,Active!C$21:E$973,3,FALSE)</f>
        <v>5184.0104498948458</v>
      </c>
      <c r="F30" s="3" t="s">
        <v>67</v>
      </c>
      <c r="G30" s="11" t="str">
        <f t="shared" si="4"/>
        <v>56010.5265</v>
      </c>
      <c r="H30" s="9">
        <f t="shared" si="5"/>
        <v>5184</v>
      </c>
      <c r="I30" s="46" t="s">
        <v>197</v>
      </c>
      <c r="J30" s="47" t="s">
        <v>198</v>
      </c>
      <c r="K30" s="46" t="s">
        <v>199</v>
      </c>
      <c r="L30" s="46" t="s">
        <v>200</v>
      </c>
      <c r="M30" s="47" t="s">
        <v>106</v>
      </c>
      <c r="N30" s="47" t="s">
        <v>107</v>
      </c>
      <c r="O30" s="48" t="s">
        <v>146</v>
      </c>
      <c r="P30" s="49" t="s">
        <v>201</v>
      </c>
    </row>
    <row r="31" spans="1:16" ht="12.75" customHeight="1" thickBot="1" x14ac:dyDescent="0.25">
      <c r="A31" s="9" t="str">
        <f t="shared" si="0"/>
        <v>IBVS 6092 </v>
      </c>
      <c r="B31" s="3" t="str">
        <f t="shared" si="1"/>
        <v>II</v>
      </c>
      <c r="C31" s="9">
        <f t="shared" si="2"/>
        <v>56304.741800000003</v>
      </c>
      <c r="D31" s="11" t="str">
        <f t="shared" si="3"/>
        <v>vis</v>
      </c>
      <c r="E31" s="45">
        <f>VLOOKUP(C31,Active!C$21:E$973,3,FALSE)</f>
        <v>5618.510018666856</v>
      </c>
      <c r="F31" s="3" t="s">
        <v>67</v>
      </c>
      <c r="G31" s="11" t="str">
        <f t="shared" si="4"/>
        <v>56304.7418</v>
      </c>
      <c r="H31" s="9">
        <f t="shared" si="5"/>
        <v>5618.5</v>
      </c>
      <c r="I31" s="46" t="s">
        <v>202</v>
      </c>
      <c r="J31" s="47" t="s">
        <v>203</v>
      </c>
      <c r="K31" s="46" t="s">
        <v>204</v>
      </c>
      <c r="L31" s="46" t="s">
        <v>205</v>
      </c>
      <c r="M31" s="47" t="s">
        <v>106</v>
      </c>
      <c r="N31" s="47" t="s">
        <v>127</v>
      </c>
      <c r="O31" s="48" t="s">
        <v>206</v>
      </c>
      <c r="P31" s="49" t="s">
        <v>207</v>
      </c>
    </row>
    <row r="32" spans="1:16" ht="12.75" customHeight="1" thickBot="1" x14ac:dyDescent="0.25">
      <c r="A32" s="9" t="str">
        <f t="shared" si="0"/>
        <v>BAVM 232 </v>
      </c>
      <c r="B32" s="3" t="str">
        <f t="shared" si="1"/>
        <v>II</v>
      </c>
      <c r="C32" s="9">
        <f t="shared" si="2"/>
        <v>56374.486100000002</v>
      </c>
      <c r="D32" s="11" t="str">
        <f t="shared" si="3"/>
        <v>vis</v>
      </c>
      <c r="E32" s="45">
        <f>VLOOKUP(C32,Active!C$21:E$973,3,FALSE)</f>
        <v>5721.5089730866448</v>
      </c>
      <c r="F32" s="3" t="s">
        <v>67</v>
      </c>
      <c r="G32" s="11" t="str">
        <f t="shared" si="4"/>
        <v>56374.4861</v>
      </c>
      <c r="H32" s="9">
        <f t="shared" si="5"/>
        <v>5721.5</v>
      </c>
      <c r="I32" s="46" t="s">
        <v>208</v>
      </c>
      <c r="J32" s="47" t="s">
        <v>209</v>
      </c>
      <c r="K32" s="46" t="s">
        <v>210</v>
      </c>
      <c r="L32" s="46" t="s">
        <v>211</v>
      </c>
      <c r="M32" s="47" t="s">
        <v>106</v>
      </c>
      <c r="N32" s="47" t="s">
        <v>107</v>
      </c>
      <c r="O32" s="48" t="s">
        <v>108</v>
      </c>
      <c r="P32" s="49" t="s">
        <v>212</v>
      </c>
    </row>
    <row r="33" spans="1:16" ht="12.75" customHeight="1" thickBot="1" x14ac:dyDescent="0.25">
      <c r="A33" s="9" t="str">
        <f t="shared" si="0"/>
        <v>BAVM 238 </v>
      </c>
      <c r="B33" s="3" t="str">
        <f t="shared" si="1"/>
        <v>II</v>
      </c>
      <c r="C33" s="9">
        <f t="shared" si="2"/>
        <v>56731.338100000001</v>
      </c>
      <c r="D33" s="11" t="str">
        <f t="shared" si="3"/>
        <v>vis</v>
      </c>
      <c r="E33" s="45">
        <f>VLOOKUP(C33,Active!C$21:E$973,3,FALSE)</f>
        <v>6248.5109342879387</v>
      </c>
      <c r="F33" s="3" t="s">
        <v>67</v>
      </c>
      <c r="G33" s="11" t="str">
        <f t="shared" si="4"/>
        <v>56731.3381</v>
      </c>
      <c r="H33" s="9">
        <f t="shared" si="5"/>
        <v>6248.5</v>
      </c>
      <c r="I33" s="46" t="s">
        <v>219</v>
      </c>
      <c r="J33" s="47" t="s">
        <v>220</v>
      </c>
      <c r="K33" s="46" t="s">
        <v>221</v>
      </c>
      <c r="L33" s="46" t="s">
        <v>222</v>
      </c>
      <c r="M33" s="47" t="s">
        <v>106</v>
      </c>
      <c r="N33" s="47" t="s">
        <v>107</v>
      </c>
      <c r="O33" s="48" t="s">
        <v>108</v>
      </c>
      <c r="P33" s="49" t="s">
        <v>223</v>
      </c>
    </row>
    <row r="34" spans="1:16" ht="12.75" customHeight="1" thickBot="1" x14ac:dyDescent="0.25">
      <c r="A34" s="9" t="str">
        <f t="shared" si="0"/>
        <v>BAVM 238 </v>
      </c>
      <c r="B34" s="3" t="str">
        <f t="shared" si="1"/>
        <v>I</v>
      </c>
      <c r="C34" s="9">
        <f t="shared" si="2"/>
        <v>56734.3871</v>
      </c>
      <c r="D34" s="11" t="str">
        <f t="shared" si="3"/>
        <v>vis</v>
      </c>
      <c r="E34" s="45">
        <f>VLOOKUP(C34,Active!C$21:E$973,3,FALSE)</f>
        <v>6253.0137225018261</v>
      </c>
      <c r="F34" s="3" t="s">
        <v>67</v>
      </c>
      <c r="G34" s="11" t="str">
        <f t="shared" si="4"/>
        <v>56734.3871</v>
      </c>
      <c r="H34" s="9">
        <f t="shared" si="5"/>
        <v>6253</v>
      </c>
      <c r="I34" s="46" t="s">
        <v>224</v>
      </c>
      <c r="J34" s="47" t="s">
        <v>225</v>
      </c>
      <c r="K34" s="46" t="s">
        <v>226</v>
      </c>
      <c r="L34" s="46" t="s">
        <v>227</v>
      </c>
      <c r="M34" s="47" t="s">
        <v>106</v>
      </c>
      <c r="N34" s="47" t="s">
        <v>107</v>
      </c>
      <c r="O34" s="48" t="s">
        <v>108</v>
      </c>
      <c r="P34" s="49" t="s">
        <v>223</v>
      </c>
    </row>
    <row r="35" spans="1:16" ht="12.75" customHeight="1" thickBot="1" x14ac:dyDescent="0.25">
      <c r="A35" s="9" t="str">
        <f t="shared" si="0"/>
        <v>BAVM 238 </v>
      </c>
      <c r="B35" s="3" t="str">
        <f t="shared" si="1"/>
        <v>II</v>
      </c>
      <c r="C35" s="9">
        <f t="shared" si="2"/>
        <v>56737.431199999999</v>
      </c>
      <c r="D35" s="11" t="str">
        <f t="shared" si="3"/>
        <v>vis</v>
      </c>
      <c r="E35" s="45">
        <f>VLOOKUP(C35,Active!C$21:E$973,3,FALSE)</f>
        <v>6257.5092743555142</v>
      </c>
      <c r="F35" s="3" t="s">
        <v>67</v>
      </c>
      <c r="G35" s="11" t="str">
        <f t="shared" si="4"/>
        <v>56737.4312</v>
      </c>
      <c r="H35" s="9">
        <f t="shared" si="5"/>
        <v>6257.5</v>
      </c>
      <c r="I35" s="46" t="s">
        <v>228</v>
      </c>
      <c r="J35" s="47" t="s">
        <v>229</v>
      </c>
      <c r="K35" s="46" t="s">
        <v>230</v>
      </c>
      <c r="L35" s="46" t="s">
        <v>231</v>
      </c>
      <c r="M35" s="47" t="s">
        <v>106</v>
      </c>
      <c r="N35" s="47" t="s">
        <v>107</v>
      </c>
      <c r="O35" s="48" t="s">
        <v>108</v>
      </c>
      <c r="P35" s="49" t="s">
        <v>223</v>
      </c>
    </row>
    <row r="36" spans="1:16" ht="12.75" customHeight="1" thickBot="1" x14ac:dyDescent="0.25">
      <c r="A36" s="9" t="str">
        <f t="shared" si="0"/>
        <v>BAVM 238 </v>
      </c>
      <c r="B36" s="3" t="str">
        <f t="shared" si="1"/>
        <v>I</v>
      </c>
      <c r="C36" s="9">
        <f t="shared" si="2"/>
        <v>56744.544300000001</v>
      </c>
      <c r="D36" s="11" t="str">
        <f t="shared" si="3"/>
        <v>vis</v>
      </c>
      <c r="E36" s="45">
        <f>VLOOKUP(C36,Active!C$21:E$973,3,FALSE)</f>
        <v>6268.0139587911408</v>
      </c>
      <c r="F36" s="3" t="s">
        <v>67</v>
      </c>
      <c r="G36" s="11" t="str">
        <f t="shared" si="4"/>
        <v>56744.5443</v>
      </c>
      <c r="H36" s="9">
        <f t="shared" si="5"/>
        <v>6268</v>
      </c>
      <c r="I36" s="46" t="s">
        <v>232</v>
      </c>
      <c r="J36" s="47" t="s">
        <v>233</v>
      </c>
      <c r="K36" s="46" t="s">
        <v>234</v>
      </c>
      <c r="L36" s="46" t="s">
        <v>235</v>
      </c>
      <c r="M36" s="47" t="s">
        <v>106</v>
      </c>
      <c r="N36" s="47" t="s">
        <v>107</v>
      </c>
      <c r="O36" s="48" t="s">
        <v>108</v>
      </c>
      <c r="P36" s="49" t="s">
        <v>223</v>
      </c>
    </row>
    <row r="37" spans="1:16" ht="12.75" customHeight="1" thickBot="1" x14ac:dyDescent="0.25">
      <c r="A37" s="9" t="str">
        <f t="shared" si="0"/>
        <v>BAVM 238 </v>
      </c>
      <c r="B37" s="3" t="str">
        <f t="shared" si="1"/>
        <v>II</v>
      </c>
      <c r="C37" s="9">
        <f t="shared" si="2"/>
        <v>56745.557800000002</v>
      </c>
      <c r="D37" s="11" t="str">
        <f t="shared" si="3"/>
        <v>vis</v>
      </c>
      <c r="E37" s="45">
        <f>VLOOKUP(C37,Active!C$21:E$973,3,FALSE)</f>
        <v>6269.5107039058612</v>
      </c>
      <c r="F37" s="3" t="s">
        <v>67</v>
      </c>
      <c r="G37" s="11" t="str">
        <f t="shared" si="4"/>
        <v>56745.5578</v>
      </c>
      <c r="H37" s="9">
        <f t="shared" si="5"/>
        <v>6269.5</v>
      </c>
      <c r="I37" s="46" t="s">
        <v>236</v>
      </c>
      <c r="J37" s="47" t="s">
        <v>237</v>
      </c>
      <c r="K37" s="46" t="s">
        <v>238</v>
      </c>
      <c r="L37" s="46" t="s">
        <v>239</v>
      </c>
      <c r="M37" s="47" t="s">
        <v>106</v>
      </c>
      <c r="N37" s="47" t="s">
        <v>107</v>
      </c>
      <c r="O37" s="48" t="s">
        <v>108</v>
      </c>
      <c r="P37" s="49" t="s">
        <v>223</v>
      </c>
    </row>
    <row r="38" spans="1:16" ht="12.75" customHeight="1" thickBot="1" x14ac:dyDescent="0.25">
      <c r="A38" s="9" t="str">
        <f t="shared" si="0"/>
        <v> BBS 124 </v>
      </c>
      <c r="B38" s="3" t="str">
        <f t="shared" si="1"/>
        <v>I</v>
      </c>
      <c r="C38" s="9">
        <f t="shared" si="2"/>
        <v>51572.574000000001</v>
      </c>
      <c r="D38" s="11" t="str">
        <f t="shared" si="3"/>
        <v>vis</v>
      </c>
      <c r="E38" s="45">
        <f>VLOOKUP(C38,Active!C$21:E$973,3,FALSE)</f>
        <v>-1369.9942109118451</v>
      </c>
      <c r="F38" s="3" t="s">
        <v>67</v>
      </c>
      <c r="G38" s="11" t="str">
        <f t="shared" si="4"/>
        <v>51572.574</v>
      </c>
      <c r="H38" s="9">
        <f t="shared" si="5"/>
        <v>-1370</v>
      </c>
      <c r="I38" s="46" t="s">
        <v>69</v>
      </c>
      <c r="J38" s="47" t="s">
        <v>70</v>
      </c>
      <c r="K38" s="46">
        <v>-1370</v>
      </c>
      <c r="L38" s="46" t="s">
        <v>71</v>
      </c>
      <c r="M38" s="47" t="s">
        <v>72</v>
      </c>
      <c r="N38" s="47"/>
      <c r="O38" s="48" t="s">
        <v>73</v>
      </c>
      <c r="P38" s="48" t="s">
        <v>74</v>
      </c>
    </row>
    <row r="39" spans="1:16" ht="12.75" customHeight="1" thickBot="1" x14ac:dyDescent="0.25">
      <c r="A39" s="9" t="str">
        <f t="shared" si="0"/>
        <v> BBS 124 </v>
      </c>
      <c r="B39" s="3" t="str">
        <f t="shared" si="1"/>
        <v>II</v>
      </c>
      <c r="C39" s="9">
        <f t="shared" si="2"/>
        <v>51578.319000000003</v>
      </c>
      <c r="D39" s="11" t="str">
        <f t="shared" si="3"/>
        <v>vis</v>
      </c>
      <c r="E39" s="45">
        <f>VLOOKUP(C39,Active!C$21:E$973,3,FALSE)</f>
        <v>-1361.5099477800627</v>
      </c>
      <c r="F39" s="3" t="s">
        <v>67</v>
      </c>
      <c r="G39" s="11" t="str">
        <f t="shared" si="4"/>
        <v>51578.319</v>
      </c>
      <c r="H39" s="9">
        <f t="shared" si="5"/>
        <v>-1361.5</v>
      </c>
      <c r="I39" s="46" t="s">
        <v>75</v>
      </c>
      <c r="J39" s="47" t="s">
        <v>76</v>
      </c>
      <c r="K39" s="46">
        <v>-1361.5</v>
      </c>
      <c r="L39" s="46" t="s">
        <v>77</v>
      </c>
      <c r="M39" s="47" t="s">
        <v>72</v>
      </c>
      <c r="N39" s="47"/>
      <c r="O39" s="48" t="s">
        <v>73</v>
      </c>
      <c r="P39" s="48" t="s">
        <v>74</v>
      </c>
    </row>
    <row r="40" spans="1:16" ht="12.75" customHeight="1" thickBot="1" x14ac:dyDescent="0.25">
      <c r="A40" s="9" t="str">
        <f t="shared" si="0"/>
        <v>BAVM 225 </v>
      </c>
      <c r="B40" s="3" t="str">
        <f t="shared" si="1"/>
        <v>I</v>
      </c>
      <c r="C40" s="9">
        <f t="shared" si="2"/>
        <v>55622.524599999997</v>
      </c>
      <c r="D40" s="11" t="str">
        <f t="shared" si="3"/>
        <v>vis</v>
      </c>
      <c r="E40" s="45">
        <f>VLOOKUP(C40,Active!C$21:E$973,3,FALSE)</f>
        <v>4611.0060608208596</v>
      </c>
      <c r="F40" s="3" t="s">
        <v>67</v>
      </c>
      <c r="G40" s="11" t="str">
        <f t="shared" si="4"/>
        <v>55622.5246</v>
      </c>
      <c r="H40" s="9">
        <f t="shared" si="5"/>
        <v>4611</v>
      </c>
      <c r="I40" s="46" t="s">
        <v>142</v>
      </c>
      <c r="J40" s="47" t="s">
        <v>143</v>
      </c>
      <c r="K40" s="46" t="s">
        <v>144</v>
      </c>
      <c r="L40" s="46" t="s">
        <v>145</v>
      </c>
      <c r="M40" s="47" t="s">
        <v>106</v>
      </c>
      <c r="N40" s="47" t="s">
        <v>107</v>
      </c>
      <c r="O40" s="48" t="s">
        <v>146</v>
      </c>
      <c r="P40" s="49" t="s">
        <v>147</v>
      </c>
    </row>
    <row r="41" spans="1:16" ht="12.75" customHeight="1" thickBot="1" x14ac:dyDescent="0.25">
      <c r="A41" s="9" t="str">
        <f t="shared" si="0"/>
        <v>VSB 53 </v>
      </c>
      <c r="B41" s="3" t="str">
        <f t="shared" si="1"/>
        <v>I</v>
      </c>
      <c r="C41" s="9">
        <f t="shared" si="2"/>
        <v>55677.3724</v>
      </c>
      <c r="D41" s="11" t="str">
        <f t="shared" si="3"/>
        <v>vis</v>
      </c>
      <c r="E41" s="45">
        <f>VLOOKUP(C41,Active!C$21:E$973,3,FALSE)</f>
        <v>4692.0057418302922</v>
      </c>
      <c r="F41" s="3" t="s">
        <v>67</v>
      </c>
      <c r="G41" s="11" t="str">
        <f t="shared" si="4"/>
        <v>55677.3724</v>
      </c>
      <c r="H41" s="9">
        <f t="shared" si="5"/>
        <v>4692</v>
      </c>
      <c r="I41" s="46" t="s">
        <v>153</v>
      </c>
      <c r="J41" s="47" t="s">
        <v>154</v>
      </c>
      <c r="K41" s="46" t="s">
        <v>155</v>
      </c>
      <c r="L41" s="46" t="s">
        <v>156</v>
      </c>
      <c r="M41" s="47" t="s">
        <v>106</v>
      </c>
      <c r="N41" s="47" t="s">
        <v>67</v>
      </c>
      <c r="O41" s="48" t="s">
        <v>157</v>
      </c>
      <c r="P41" s="49" t="s">
        <v>158</v>
      </c>
    </row>
    <row r="42" spans="1:16" ht="12.75" customHeight="1" thickBot="1" x14ac:dyDescent="0.25">
      <c r="A42" s="9" t="str">
        <f t="shared" si="0"/>
        <v>VSB 55 </v>
      </c>
      <c r="B42" s="3" t="str">
        <f t="shared" si="1"/>
        <v>I</v>
      </c>
      <c r="C42" s="9">
        <f t="shared" si="2"/>
        <v>55934.008300000001</v>
      </c>
      <c r="D42" s="11" t="str">
        <f t="shared" si="3"/>
        <v>vis</v>
      </c>
      <c r="E42" s="45">
        <f>VLOOKUP(C42,Active!C$21:E$973,3,FALSE)</f>
        <v>5071.0077443822183</v>
      </c>
      <c r="F42" s="3" t="s">
        <v>67</v>
      </c>
      <c r="G42" s="11" t="str">
        <f t="shared" si="4"/>
        <v>55934.0083</v>
      </c>
      <c r="H42" s="9">
        <f t="shared" si="5"/>
        <v>5071</v>
      </c>
      <c r="I42" s="46" t="s">
        <v>174</v>
      </c>
      <c r="J42" s="47" t="s">
        <v>175</v>
      </c>
      <c r="K42" s="46" t="s">
        <v>176</v>
      </c>
      <c r="L42" s="46" t="s">
        <v>177</v>
      </c>
      <c r="M42" s="47" t="s">
        <v>106</v>
      </c>
      <c r="N42" s="47" t="s">
        <v>178</v>
      </c>
      <c r="O42" s="48" t="s">
        <v>179</v>
      </c>
      <c r="P42" s="49" t="s">
        <v>180</v>
      </c>
    </row>
    <row r="43" spans="1:16" ht="12.75" customHeight="1" thickBot="1" x14ac:dyDescent="0.25">
      <c r="A43" s="9" t="str">
        <f t="shared" si="0"/>
        <v>VSB 55 </v>
      </c>
      <c r="B43" s="3" t="str">
        <f t="shared" si="1"/>
        <v>II</v>
      </c>
      <c r="C43" s="9">
        <f t="shared" si="2"/>
        <v>55935.022499999999</v>
      </c>
      <c r="D43" s="11" t="str">
        <f t="shared" si="3"/>
        <v>vis</v>
      </c>
      <c r="E43" s="45">
        <f>VLOOKUP(C43,Active!C$21:E$973,3,FALSE)</f>
        <v>5072.5055232626764</v>
      </c>
      <c r="F43" s="3" t="s">
        <v>67</v>
      </c>
      <c r="G43" s="11" t="str">
        <f t="shared" si="4"/>
        <v>55935.0225</v>
      </c>
      <c r="H43" s="9">
        <f t="shared" si="5"/>
        <v>5072.5</v>
      </c>
      <c r="I43" s="46" t="s">
        <v>181</v>
      </c>
      <c r="J43" s="47" t="s">
        <v>182</v>
      </c>
      <c r="K43" s="46" t="s">
        <v>183</v>
      </c>
      <c r="L43" s="46" t="s">
        <v>184</v>
      </c>
      <c r="M43" s="47" t="s">
        <v>106</v>
      </c>
      <c r="N43" s="47" t="s">
        <v>178</v>
      </c>
      <c r="O43" s="48" t="s">
        <v>179</v>
      </c>
      <c r="P43" s="49" t="s">
        <v>180</v>
      </c>
    </row>
    <row r="44" spans="1:16" ht="12.75" customHeight="1" thickBot="1" x14ac:dyDescent="0.25">
      <c r="A44" s="9" t="str">
        <f t="shared" si="0"/>
        <v>VSB 55 </v>
      </c>
      <c r="B44" s="3" t="str">
        <f t="shared" si="1"/>
        <v>I</v>
      </c>
      <c r="C44" s="9">
        <f t="shared" si="2"/>
        <v>55935.362200000003</v>
      </c>
      <c r="D44" s="11" t="str">
        <f t="shared" si="3"/>
        <v>vis</v>
      </c>
      <c r="E44" s="45">
        <f>VLOOKUP(C44,Active!C$21:E$973,3,FALSE)</f>
        <v>5073.0071950095698</v>
      </c>
      <c r="F44" s="3" t="s">
        <v>67</v>
      </c>
      <c r="G44" s="11" t="str">
        <f t="shared" si="4"/>
        <v>55935.3622</v>
      </c>
      <c r="H44" s="9">
        <f t="shared" si="5"/>
        <v>5073</v>
      </c>
      <c r="I44" s="46" t="s">
        <v>185</v>
      </c>
      <c r="J44" s="47" t="s">
        <v>186</v>
      </c>
      <c r="K44" s="46" t="s">
        <v>187</v>
      </c>
      <c r="L44" s="46" t="s">
        <v>188</v>
      </c>
      <c r="M44" s="47" t="s">
        <v>106</v>
      </c>
      <c r="N44" s="47" t="s">
        <v>178</v>
      </c>
      <c r="O44" s="48" t="s">
        <v>179</v>
      </c>
      <c r="P44" s="49" t="s">
        <v>180</v>
      </c>
    </row>
    <row r="45" spans="1:16" ht="12.75" customHeight="1" thickBot="1" x14ac:dyDescent="0.25">
      <c r="A45" s="9" t="str">
        <f t="shared" si="0"/>
        <v>VSB 56 </v>
      </c>
      <c r="B45" s="3" t="str">
        <f t="shared" si="1"/>
        <v>I</v>
      </c>
      <c r="C45" s="9">
        <f t="shared" si="2"/>
        <v>56649.0723</v>
      </c>
      <c r="D45" s="11" t="str">
        <f t="shared" si="3"/>
        <v>vis</v>
      </c>
      <c r="E45" s="45">
        <f>VLOOKUP(C45,Active!C$21:E$973,3,FALSE)</f>
        <v>6127.0201259421983</v>
      </c>
      <c r="F45" s="3" t="s">
        <v>67</v>
      </c>
      <c r="G45" s="11" t="str">
        <f t="shared" si="4"/>
        <v>56649.0723</v>
      </c>
      <c r="H45" s="9">
        <f t="shared" si="5"/>
        <v>6127</v>
      </c>
      <c r="I45" s="46" t="s">
        <v>213</v>
      </c>
      <c r="J45" s="47" t="s">
        <v>214</v>
      </c>
      <c r="K45" s="46" t="s">
        <v>215</v>
      </c>
      <c r="L45" s="46" t="s">
        <v>216</v>
      </c>
      <c r="M45" s="47" t="s">
        <v>106</v>
      </c>
      <c r="N45" s="47" t="s">
        <v>67</v>
      </c>
      <c r="O45" s="48" t="s">
        <v>217</v>
      </c>
      <c r="P45" s="49" t="s">
        <v>218</v>
      </c>
    </row>
    <row r="46" spans="1:16" ht="12.75" customHeight="1" thickBot="1" x14ac:dyDescent="0.25">
      <c r="A46" s="9" t="str">
        <f t="shared" si="0"/>
        <v>BAVM 241 (=IBVS 6157) </v>
      </c>
      <c r="B46" s="3" t="str">
        <f t="shared" si="1"/>
        <v>II</v>
      </c>
      <c r="C46" s="9">
        <f t="shared" si="2"/>
        <v>57091.576999999997</v>
      </c>
      <c r="D46" s="11" t="str">
        <f t="shared" si="3"/>
        <v>vis</v>
      </c>
      <c r="E46" s="45">
        <f>VLOOKUP(C46,Active!C$21:E$973,3,FALSE)</f>
        <v>6780.5146971952372</v>
      </c>
      <c r="F46" s="3" t="s">
        <v>67</v>
      </c>
      <c r="G46" s="11" t="str">
        <f t="shared" si="4"/>
        <v>57091.577</v>
      </c>
      <c r="H46" s="9">
        <f t="shared" si="5"/>
        <v>6780.5</v>
      </c>
      <c r="I46" s="46" t="s">
        <v>240</v>
      </c>
      <c r="J46" s="47" t="s">
        <v>241</v>
      </c>
      <c r="K46" s="46" t="s">
        <v>242</v>
      </c>
      <c r="L46" s="46" t="s">
        <v>243</v>
      </c>
      <c r="M46" s="47" t="s">
        <v>106</v>
      </c>
      <c r="N46" s="47" t="s">
        <v>107</v>
      </c>
      <c r="O46" s="48" t="s">
        <v>108</v>
      </c>
      <c r="P46" s="49" t="s">
        <v>244</v>
      </c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</sheetData>
  <phoneticPr fontId="8" type="noConversion"/>
  <hyperlinks>
    <hyperlink ref="A3" r:id="rId1" xr:uid="{00000000-0004-0000-0100-000000000000}"/>
    <hyperlink ref="P11" r:id="rId2" display="http://www.konkoly.hu/cgi-bin/IBVS?5258" xr:uid="{00000000-0004-0000-0100-000001000000}"/>
    <hyperlink ref="P12" r:id="rId3" display="http://www.konkoly.hu/cgi-bin/IBVS?5258" xr:uid="{00000000-0004-0000-0100-000002000000}"/>
    <hyperlink ref="P13" r:id="rId4" display="http://www.konkoly.hu/cgi-bin/IBVS?5258" xr:uid="{00000000-0004-0000-0100-000003000000}"/>
    <hyperlink ref="P14" r:id="rId5" display="http://www.konkoly.hu/cgi-bin/IBVS?5258" xr:uid="{00000000-0004-0000-0100-000004000000}"/>
    <hyperlink ref="P15" r:id="rId6" display="http://www.konkoly.hu/cgi-bin/IBVS?5341" xr:uid="{00000000-0004-0000-0100-000005000000}"/>
    <hyperlink ref="P16" r:id="rId7" display="http://www.konkoly.hu/cgi-bin/IBVS?5623" xr:uid="{00000000-0004-0000-0100-000006000000}"/>
    <hyperlink ref="P17" r:id="rId8" display="http://www.bav-astro.de/sfs/BAVM_link.php?BAVMnr=178" xr:uid="{00000000-0004-0000-0100-000007000000}"/>
    <hyperlink ref="P18" r:id="rId9" display="http://www.konkoly.hu/cgi-bin/IBVS?5898" xr:uid="{00000000-0004-0000-0100-000008000000}"/>
    <hyperlink ref="P19" r:id="rId10" display="http://www.konkoly.hu/cgi-bin/IBVS?5938" xr:uid="{00000000-0004-0000-0100-000009000000}"/>
    <hyperlink ref="P20" r:id="rId11" display="http://www.konkoly.hu/cgi-bin/IBVS?5980" xr:uid="{00000000-0004-0000-0100-00000A000000}"/>
    <hyperlink ref="P21" r:id="rId12" display="http://www.konkoly.hu/cgi-bin/IBVS?5974" xr:uid="{00000000-0004-0000-0100-00000B000000}"/>
    <hyperlink ref="P22" r:id="rId13" display="http://www.konkoly.hu/cgi-bin/IBVS?5980" xr:uid="{00000000-0004-0000-0100-00000C000000}"/>
    <hyperlink ref="P23" r:id="rId14" display="http://www.konkoly.hu/cgi-bin/IBVS?5980" xr:uid="{00000000-0004-0000-0100-00000D000000}"/>
    <hyperlink ref="P40" r:id="rId15" display="http://www.bav-astro.de/sfs/BAVM_link.php?BAVMnr=225" xr:uid="{00000000-0004-0000-0100-00000E000000}"/>
    <hyperlink ref="P24" r:id="rId16" display="http://www.bav-astro.de/sfs/BAVM_link.php?BAVMnr=220" xr:uid="{00000000-0004-0000-0100-00000F000000}"/>
    <hyperlink ref="P41" r:id="rId17" display="http://vsolj.cetus-net.org/vsoljno53.pdf" xr:uid="{00000000-0004-0000-0100-000010000000}"/>
    <hyperlink ref="P25" r:id="rId18" display="http://www.konkoly.hu/cgi-bin/IBVS?6095" xr:uid="{00000000-0004-0000-0100-000011000000}"/>
    <hyperlink ref="P26" r:id="rId19" display="http://www.konkoly.hu/cgi-bin/IBVS?6095" xr:uid="{00000000-0004-0000-0100-000012000000}"/>
    <hyperlink ref="P27" r:id="rId20" display="http://www.konkoly.hu/cgi-bin/IBVS?6095" xr:uid="{00000000-0004-0000-0100-000013000000}"/>
    <hyperlink ref="P42" r:id="rId21" display="http://vsolj.cetus-net.org/vsoljno55.pdf" xr:uid="{00000000-0004-0000-0100-000014000000}"/>
    <hyperlink ref="P43" r:id="rId22" display="http://vsolj.cetus-net.org/vsoljno55.pdf" xr:uid="{00000000-0004-0000-0100-000015000000}"/>
    <hyperlink ref="P44" r:id="rId23" display="http://vsolj.cetus-net.org/vsoljno55.pdf" xr:uid="{00000000-0004-0000-0100-000016000000}"/>
    <hyperlink ref="P28" r:id="rId24" display="http://www.konkoly.hu/cgi-bin/IBVS?6095" xr:uid="{00000000-0004-0000-0100-000017000000}"/>
    <hyperlink ref="P29" r:id="rId25" display="http://www.konkoly.hu/cgi-bin/IBVS?6044" xr:uid="{00000000-0004-0000-0100-000018000000}"/>
    <hyperlink ref="P30" r:id="rId26" display="http://www.bav-astro.de/sfs/BAVM_link.php?BAVMnr=231" xr:uid="{00000000-0004-0000-0100-000019000000}"/>
    <hyperlink ref="P31" r:id="rId27" display="http://www.konkoly.hu/cgi-bin/IBVS?6092" xr:uid="{00000000-0004-0000-0100-00001A000000}"/>
    <hyperlink ref="P32" r:id="rId28" display="http://www.bav-astro.de/sfs/BAVM_link.php?BAVMnr=232" xr:uid="{00000000-0004-0000-0100-00001B000000}"/>
    <hyperlink ref="P45" r:id="rId29" display="http://vsolj.cetus-net.org/vsoljno56.pdf" xr:uid="{00000000-0004-0000-0100-00001C000000}"/>
    <hyperlink ref="P33" r:id="rId30" display="http://www.bav-astro.de/sfs/BAVM_link.php?BAVMnr=238" xr:uid="{00000000-0004-0000-0100-00001D000000}"/>
    <hyperlink ref="P34" r:id="rId31" display="http://www.bav-astro.de/sfs/BAVM_link.php?BAVMnr=238" xr:uid="{00000000-0004-0000-0100-00001E000000}"/>
    <hyperlink ref="P35" r:id="rId32" display="http://www.bav-astro.de/sfs/BAVM_link.php?BAVMnr=238" xr:uid="{00000000-0004-0000-0100-00001F000000}"/>
    <hyperlink ref="P36" r:id="rId33" display="http://www.bav-astro.de/sfs/BAVM_link.php?BAVMnr=238" xr:uid="{00000000-0004-0000-0100-000020000000}"/>
    <hyperlink ref="P37" r:id="rId34" display="http://www.bav-astro.de/sfs/BAVM_link.php?BAVMnr=238" xr:uid="{00000000-0004-0000-0100-000021000000}"/>
    <hyperlink ref="P46" r:id="rId35" display="http://www.bav-astro.de/sfs/BAVM_link.php?BAVMnr=241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2023-08-14T01:53:08Z</dcterms:modified>
</cp:coreProperties>
</file>