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02B5EB89-6D7D-4D8B-85D4-01FB14FF32C3}" xr6:coauthVersionLast="47" xr6:coauthVersionMax="47" xr10:uidLastSave="{00000000-0000-0000-0000-000000000000}"/>
  <bookViews>
    <workbookView xWindow="15495" yWindow="615" windowWidth="12975" windowHeight="15060"/>
  </bookViews>
  <sheets>
    <sheet name="Active" sheetId="2" r:id="rId1"/>
    <sheet name="A (old)" sheetId="1" r:id="rId2"/>
    <sheet name="BAV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4" i="2" l="1"/>
  <c r="F54" i="2" s="1"/>
  <c r="G54" i="2" s="1"/>
  <c r="K54" i="2" s="1"/>
  <c r="Q54" i="2"/>
  <c r="D9" i="2"/>
  <c r="C9" i="2"/>
  <c r="Q29" i="2"/>
  <c r="Q30" i="2"/>
  <c r="Q31" i="2"/>
  <c r="Q34" i="2"/>
  <c r="Q39" i="2"/>
  <c r="Q47" i="2"/>
  <c r="Q48" i="2"/>
  <c r="Q52" i="2"/>
  <c r="G34" i="3"/>
  <c r="C34" i="3"/>
  <c r="G26" i="3"/>
  <c r="C26" i="3"/>
  <c r="G25" i="3"/>
  <c r="C25" i="3"/>
  <c r="G24" i="3"/>
  <c r="C24" i="3"/>
  <c r="G33" i="3"/>
  <c r="C33" i="3"/>
  <c r="G32" i="3"/>
  <c r="C32" i="3"/>
  <c r="G23" i="3"/>
  <c r="C23" i="3"/>
  <c r="G22" i="3"/>
  <c r="C22" i="3"/>
  <c r="G21" i="3"/>
  <c r="C21" i="3"/>
  <c r="G20" i="3"/>
  <c r="C20" i="3"/>
  <c r="G31" i="3"/>
  <c r="C31" i="3"/>
  <c r="G19" i="3"/>
  <c r="C19" i="3"/>
  <c r="G30" i="3"/>
  <c r="C30" i="3"/>
  <c r="G18" i="3"/>
  <c r="C18" i="3"/>
  <c r="G17" i="3"/>
  <c r="C17" i="3"/>
  <c r="G29" i="3"/>
  <c r="C29" i="3"/>
  <c r="G28" i="3"/>
  <c r="C28" i="3"/>
  <c r="G27" i="3"/>
  <c r="C27" i="3"/>
  <c r="G16" i="3"/>
  <c r="C16" i="3"/>
  <c r="G15" i="3"/>
  <c r="C15" i="3"/>
  <c r="G14" i="3"/>
  <c r="C14" i="3"/>
  <c r="G13" i="3"/>
  <c r="C13" i="3"/>
  <c r="G12" i="3"/>
  <c r="C12" i="3"/>
  <c r="G11" i="3"/>
  <c r="C11" i="3"/>
  <c r="H34" i="3"/>
  <c r="B34" i="3"/>
  <c r="D34" i="3"/>
  <c r="A34" i="3"/>
  <c r="H26" i="3"/>
  <c r="B26" i="3"/>
  <c r="D26" i="3"/>
  <c r="A26" i="3"/>
  <c r="H25" i="3"/>
  <c r="B25" i="3"/>
  <c r="D25" i="3"/>
  <c r="A25" i="3"/>
  <c r="H24" i="3"/>
  <c r="B24" i="3"/>
  <c r="D24" i="3"/>
  <c r="A24" i="3"/>
  <c r="H33" i="3"/>
  <c r="B33" i="3"/>
  <c r="D33" i="3"/>
  <c r="A33" i="3"/>
  <c r="H32" i="3"/>
  <c r="B32" i="3"/>
  <c r="D32" i="3"/>
  <c r="A32" i="3"/>
  <c r="H23" i="3"/>
  <c r="B23" i="3"/>
  <c r="D23" i="3"/>
  <c r="A23" i="3"/>
  <c r="H22" i="3"/>
  <c r="B22" i="3"/>
  <c r="D22" i="3"/>
  <c r="A22" i="3"/>
  <c r="H21" i="3"/>
  <c r="B21" i="3"/>
  <c r="D21" i="3"/>
  <c r="A21" i="3"/>
  <c r="H20" i="3"/>
  <c r="B20" i="3"/>
  <c r="D20" i="3"/>
  <c r="A20" i="3"/>
  <c r="H31" i="3"/>
  <c r="B31" i="3"/>
  <c r="D31" i="3"/>
  <c r="A31" i="3"/>
  <c r="H19" i="3"/>
  <c r="B19" i="3"/>
  <c r="D19" i="3"/>
  <c r="A19" i="3"/>
  <c r="H30" i="3"/>
  <c r="B30" i="3"/>
  <c r="D30" i="3"/>
  <c r="A30" i="3"/>
  <c r="H18" i="3"/>
  <c r="B18" i="3"/>
  <c r="D18" i="3"/>
  <c r="A18" i="3"/>
  <c r="H17" i="3"/>
  <c r="B17" i="3"/>
  <c r="D17" i="3"/>
  <c r="A17" i="3"/>
  <c r="H29" i="3"/>
  <c r="B29" i="3"/>
  <c r="D29" i="3"/>
  <c r="A29" i="3"/>
  <c r="H28" i="3"/>
  <c r="B28" i="3"/>
  <c r="D28" i="3"/>
  <c r="A28" i="3"/>
  <c r="H27" i="3"/>
  <c r="B27" i="3"/>
  <c r="D27" i="3"/>
  <c r="A27" i="3"/>
  <c r="H16" i="3"/>
  <c r="B16" i="3"/>
  <c r="D16" i="3"/>
  <c r="A16" i="3"/>
  <c r="H15" i="3"/>
  <c r="B15" i="3"/>
  <c r="D15" i="3"/>
  <c r="A15" i="3"/>
  <c r="H14" i="3"/>
  <c r="B14" i="3"/>
  <c r="D14" i="3"/>
  <c r="A14" i="3"/>
  <c r="H13" i="3"/>
  <c r="B13" i="3"/>
  <c r="D13" i="3"/>
  <c r="A13" i="3"/>
  <c r="H12" i="3"/>
  <c r="B12" i="3"/>
  <c r="D12" i="3"/>
  <c r="A12" i="3"/>
  <c r="H11" i="3"/>
  <c r="B11" i="3"/>
  <c r="D11" i="3"/>
  <c r="A11" i="3"/>
  <c r="Q50" i="2"/>
  <c r="Q53" i="2"/>
  <c r="Q51" i="2"/>
  <c r="Q42" i="2"/>
  <c r="Q49" i="2"/>
  <c r="F16" i="2"/>
  <c r="F17" i="2" s="1"/>
  <c r="Q32" i="2"/>
  <c r="Q33" i="2"/>
  <c r="Q35" i="2"/>
  <c r="Q44" i="2"/>
  <c r="Q45" i="2"/>
  <c r="Q46" i="2"/>
  <c r="Q36" i="2"/>
  <c r="Q37" i="2"/>
  <c r="Q38" i="2"/>
  <c r="C7" i="2"/>
  <c r="C17" i="2"/>
  <c r="Q21" i="2"/>
  <c r="Q22" i="2"/>
  <c r="Q23" i="2"/>
  <c r="Q24" i="2"/>
  <c r="Q25" i="2"/>
  <c r="Q26" i="2"/>
  <c r="Q27" i="2"/>
  <c r="Q28" i="2"/>
  <c r="Q40" i="2"/>
  <c r="Q41" i="2"/>
  <c r="Q43" i="2"/>
  <c r="G11" i="1"/>
  <c r="F11" i="1"/>
  <c r="Q29" i="1"/>
  <c r="E15" i="1"/>
  <c r="C17" i="1"/>
  <c r="Q31" i="1"/>
  <c r="Q30" i="1"/>
  <c r="C7" i="1"/>
  <c r="Q23" i="1"/>
  <c r="Q22" i="1"/>
  <c r="Q24" i="1"/>
  <c r="Q25" i="1"/>
  <c r="Q26" i="1"/>
  <c r="Q27" i="1"/>
  <c r="Q28" i="1"/>
  <c r="Q21" i="1"/>
  <c r="E28" i="3"/>
  <c r="E19" i="3"/>
  <c r="G29" i="1"/>
  <c r="J29" i="1"/>
  <c r="E31" i="3"/>
  <c r="E33" i="3"/>
  <c r="E14" i="3"/>
  <c r="E22" i="3"/>
  <c r="E25" i="3"/>
  <c r="E15" i="3"/>
  <c r="E26" i="3"/>
  <c r="E27" i="3"/>
  <c r="G28" i="1"/>
  <c r="I28" i="1"/>
  <c r="E26" i="1"/>
  <c r="F26" i="1"/>
  <c r="E29" i="1"/>
  <c r="F29" i="1"/>
  <c r="E36" i="2"/>
  <c r="F36" i="2"/>
  <c r="E48" i="2"/>
  <c r="F48" i="2"/>
  <c r="E39" i="2"/>
  <c r="F39" i="2"/>
  <c r="E31" i="2"/>
  <c r="F31" i="2"/>
  <c r="E22" i="2"/>
  <c r="F22" i="2"/>
  <c r="G22" i="2"/>
  <c r="E24" i="2"/>
  <c r="F24" i="2"/>
  <c r="E27" i="2"/>
  <c r="F27" i="2"/>
  <c r="E21" i="2"/>
  <c r="F21" i="2"/>
  <c r="E40" i="2"/>
  <c r="F40" i="2"/>
  <c r="E50" i="2"/>
  <c r="F50" i="2"/>
  <c r="E49" i="2"/>
  <c r="F49" i="2"/>
  <c r="E53" i="2"/>
  <c r="F53" i="2"/>
  <c r="E32" i="2"/>
  <c r="F32" i="2"/>
  <c r="E46" i="2"/>
  <c r="F46" i="2"/>
  <c r="E35" i="2"/>
  <c r="F35" i="2"/>
  <c r="G35" i="2"/>
  <c r="K35" i="2"/>
  <c r="E31" i="1"/>
  <c r="F31" i="1"/>
  <c r="G31" i="1"/>
  <c r="J31" i="1"/>
  <c r="E23" i="1"/>
  <c r="F23" i="1"/>
  <c r="G23" i="1"/>
  <c r="J23" i="1"/>
  <c r="G21" i="1"/>
  <c r="H21" i="1"/>
  <c r="E28" i="1"/>
  <c r="F28" i="1"/>
  <c r="E45" i="2"/>
  <c r="F45" i="2"/>
  <c r="G29" i="2"/>
  <c r="I29" i="2"/>
  <c r="G47" i="2"/>
  <c r="K47" i="2"/>
  <c r="G30" i="2"/>
  <c r="I30" i="2"/>
  <c r="G25" i="2"/>
  <c r="J25" i="2"/>
  <c r="G26" i="2"/>
  <c r="J26" i="2"/>
  <c r="G23" i="2"/>
  <c r="J23" i="2"/>
  <c r="G41" i="2"/>
  <c r="K41" i="2"/>
  <c r="G43" i="2"/>
  <c r="J43" i="2"/>
  <c r="G51" i="2"/>
  <c r="K51" i="2"/>
  <c r="G42" i="2"/>
  <c r="K42" i="2"/>
  <c r="G44" i="2"/>
  <c r="K44" i="2"/>
  <c r="E25" i="1"/>
  <c r="F25" i="1"/>
  <c r="G25" i="1"/>
  <c r="I25" i="1"/>
  <c r="E21" i="1"/>
  <c r="E30" i="1"/>
  <c r="F30" i="1"/>
  <c r="G24" i="1"/>
  <c r="I24" i="1"/>
  <c r="E22" i="1"/>
  <c r="F22" i="1"/>
  <c r="G22" i="1"/>
  <c r="E38" i="2"/>
  <c r="F38" i="2"/>
  <c r="E29" i="2"/>
  <c r="F29" i="2"/>
  <c r="E47" i="2"/>
  <c r="F47" i="2"/>
  <c r="E34" i="2"/>
  <c r="F34" i="2"/>
  <c r="G34" i="2"/>
  <c r="K34" i="2"/>
  <c r="E30" i="2"/>
  <c r="F30" i="2"/>
  <c r="E25" i="2"/>
  <c r="F25" i="2"/>
  <c r="E26" i="2"/>
  <c r="F26" i="2"/>
  <c r="E28" i="2"/>
  <c r="F28" i="2"/>
  <c r="G28" i="2"/>
  <c r="I28" i="2"/>
  <c r="E23" i="2"/>
  <c r="F23" i="2"/>
  <c r="E41" i="2"/>
  <c r="F41" i="2"/>
  <c r="E43" i="2"/>
  <c r="F43" i="2"/>
  <c r="E52" i="2"/>
  <c r="F52" i="2"/>
  <c r="G52" i="2"/>
  <c r="K52" i="2"/>
  <c r="E51" i="2"/>
  <c r="F51" i="2"/>
  <c r="E42" i="2"/>
  <c r="F42" i="2"/>
  <c r="E44" i="2"/>
  <c r="F44" i="2"/>
  <c r="E33" i="2"/>
  <c r="F33" i="2"/>
  <c r="G33" i="2"/>
  <c r="K33" i="2"/>
  <c r="E27" i="1"/>
  <c r="F27" i="1"/>
  <c r="G27" i="1"/>
  <c r="I27" i="1"/>
  <c r="G26" i="1"/>
  <c r="I26" i="1"/>
  <c r="E24" i="1"/>
  <c r="F24" i="1"/>
  <c r="E37" i="2"/>
  <c r="F37" i="2"/>
  <c r="G37" i="2"/>
  <c r="K37" i="2"/>
  <c r="G48" i="2"/>
  <c r="K48" i="2"/>
  <c r="G39" i="2"/>
  <c r="K39" i="2"/>
  <c r="G31" i="2"/>
  <c r="K31" i="2"/>
  <c r="G24" i="2"/>
  <c r="J24" i="2"/>
  <c r="G27" i="2"/>
  <c r="I27" i="2"/>
  <c r="G21" i="2"/>
  <c r="H21" i="2"/>
  <c r="G40" i="2"/>
  <c r="I40" i="2"/>
  <c r="G50" i="2"/>
  <c r="J50" i="2"/>
  <c r="G49" i="2"/>
  <c r="K49" i="2"/>
  <c r="G53" i="2"/>
  <c r="K53" i="2"/>
  <c r="G32" i="2"/>
  <c r="K32" i="2"/>
  <c r="G46" i="2"/>
  <c r="K46" i="2"/>
  <c r="J22" i="2"/>
  <c r="I22" i="1"/>
  <c r="E34" i="3"/>
  <c r="E30" i="3"/>
  <c r="E18" i="3"/>
  <c r="E29" i="3"/>
  <c r="E11" i="3"/>
  <c r="E16" i="3"/>
  <c r="E24" i="3"/>
  <c r="E13" i="3"/>
  <c r="E20" i="3"/>
  <c r="E23" i="3"/>
  <c r="E17" i="3"/>
  <c r="E21" i="3"/>
  <c r="E32" i="3"/>
  <c r="E12" i="3"/>
  <c r="C12" i="1"/>
  <c r="C11" i="2"/>
  <c r="C12" i="2"/>
  <c r="C11" i="1"/>
  <c r="O54" i="2" l="1"/>
  <c r="O23" i="1"/>
  <c r="O28" i="1"/>
  <c r="O24" i="1"/>
  <c r="C15" i="1"/>
  <c r="O30" i="1"/>
  <c r="O21" i="1"/>
  <c r="O31" i="1"/>
  <c r="O26" i="1"/>
  <c r="O29" i="1"/>
  <c r="O22" i="1"/>
  <c r="O25" i="1"/>
  <c r="O27" i="1"/>
  <c r="C16" i="2"/>
  <c r="D18" i="2" s="1"/>
  <c r="O40" i="2"/>
  <c r="O22" i="2"/>
  <c r="O33" i="2"/>
  <c r="O36" i="2"/>
  <c r="O48" i="2"/>
  <c r="O42" i="2"/>
  <c r="O26" i="2"/>
  <c r="O46" i="2"/>
  <c r="O24" i="2"/>
  <c r="O45" i="2"/>
  <c r="O34" i="2"/>
  <c r="O29" i="2"/>
  <c r="O41" i="2"/>
  <c r="O23" i="2"/>
  <c r="O28" i="2"/>
  <c r="O52" i="2"/>
  <c r="O39" i="2"/>
  <c r="O51" i="2"/>
  <c r="O27" i="2"/>
  <c r="C15" i="2"/>
  <c r="O47" i="2"/>
  <c r="O44" i="2"/>
  <c r="O50" i="2"/>
  <c r="O49" i="2"/>
  <c r="O43" i="2"/>
  <c r="O37" i="2"/>
  <c r="O32" i="2"/>
  <c r="O30" i="2"/>
  <c r="O31" i="2"/>
  <c r="O21" i="2"/>
  <c r="O25" i="2"/>
  <c r="O38" i="2"/>
  <c r="O53" i="2"/>
  <c r="O35" i="2"/>
  <c r="C16" i="1"/>
  <c r="D18" i="1" s="1"/>
  <c r="F18" i="2" l="1"/>
  <c r="F19" i="2" s="1"/>
  <c r="C18" i="1"/>
  <c r="E16" i="1"/>
  <c r="E17" i="1" s="1"/>
  <c r="C18" i="2"/>
</calcChain>
</file>

<file path=xl/sharedStrings.xml><?xml version="1.0" encoding="utf-8"?>
<sst xmlns="http://schemas.openxmlformats.org/spreadsheetml/2006/main" count="421" uniqueCount="189">
  <si>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</si>
  <si>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</si>
  <si>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</si>
  <si>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</si>
  <si>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</si>
  <si>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</si>
  <si>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</si>
  <si>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</si>
  <si>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</si>
  <si>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</si>
  <si>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</si>
  <si>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</si>
  <si>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</si>
  <si>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</si>
  <si>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</si>
  <si>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</si>
  <si>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</si>
  <si>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</si>
  <si>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</si>
  <si>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</si>
  <si>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</si>
  <si>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</si>
  <si>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</si>
  <si>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</si>
  <si>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</si>
  <si>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</si>
  <si>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</si>
  <si>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</si>
  <si>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</si>
  <si>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Diethelm</t>
  </si>
  <si>
    <t>R</t>
  </si>
  <si>
    <t>BBSAG</t>
  </si>
  <si>
    <t>B</t>
  </si>
  <si>
    <t>Blaettler</t>
  </si>
  <si>
    <t>E</t>
  </si>
  <si>
    <t>Locher</t>
  </si>
  <si>
    <t>K</t>
  </si>
  <si>
    <t>Kurt</t>
  </si>
  <si>
    <t>BBSAG Bull.116</t>
  </si>
  <si>
    <t>BBSAG Bull.117</t>
  </si>
  <si>
    <t>BBSAG Bull.118</t>
  </si>
  <si>
    <t>IBVS 4531</t>
  </si>
  <si>
    <t>IBVS</t>
  </si>
  <si>
    <t>IBVS 5543</t>
  </si>
  <si>
    <t>I</t>
  </si>
  <si>
    <t>bad?</t>
  </si>
  <si>
    <t># of data points:</t>
  </si>
  <si>
    <t>BW Cas / GSC 04035-00408</t>
  </si>
  <si>
    <t>EA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</si>
  <si>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</si>
  <si>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</si>
  <si>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</si>
  <si>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</si>
  <si>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</si>
  <si>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</si>
  <si>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</si>
  <si>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</si>
  <si>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IBVS 5438</t>
  </si>
  <si>
    <t>OEJV 0074</t>
  </si>
  <si>
    <t>CCD+I</t>
  </si>
  <si>
    <t>vis</t>
  </si>
  <si>
    <t>IBVS 5960</t>
  </si>
  <si>
    <t>Add cycle</t>
  </si>
  <si>
    <t>Old Cycle</t>
  </si>
  <si>
    <t>OEJV 0003</t>
  </si>
  <si>
    <t>IBVS 6011</t>
  </si>
  <si>
    <t>IBVS 6042</t>
  </si>
  <si>
    <t>BAD?</t>
  </si>
  <si>
    <t>IBVS 5984</t>
  </si>
  <si>
    <t>Minima from the Lichtenknecker Database of the BAV</t>
  </si>
  <si>
    <t>C</t>
  </si>
  <si>
    <t>CCD</t>
  </si>
  <si>
    <t>PE</t>
  </si>
  <si>
    <t>http://www.bav-astro.de/LkDB/index.php?lang=en&amp;sprache_dial=en</t>
  </si>
  <si>
    <t>F</t>
  </si>
  <si>
    <t>pg</t>
  </si>
  <si>
    <t>P</t>
  </si>
  <si>
    <t>V</t>
  </si>
  <si>
    <t>2450710.2973 </t>
  </si>
  <si>
    <t> 18.09.1997 19:08 </t>
  </si>
  <si>
    <t> 0.2373 </t>
  </si>
  <si>
    <t>E </t>
  </si>
  <si>
    <t>?</t>
  </si>
  <si>
    <t> R.Diethelm </t>
  </si>
  <si>
    <t>IBVS 4531 </t>
  </si>
  <si>
    <t>2450754.5031 </t>
  </si>
  <si>
    <t> 02.11.1997 00:04 </t>
  </si>
  <si>
    <t> -0.0894 </t>
  </si>
  <si>
    <t> E.Blättler </t>
  </si>
  <si>
    <t> BBS 116 </t>
  </si>
  <si>
    <t>2450854.2673 </t>
  </si>
  <si>
    <t> 09.02.1998 18:24 </t>
  </si>
  <si>
    <t> 0.1873 </t>
  </si>
  <si>
    <t> BBS 117 </t>
  </si>
  <si>
    <t>2450859.3150 </t>
  </si>
  <si>
    <t> 14.02.1998 19:33 </t>
  </si>
  <si>
    <t> 0.4975 </t>
  </si>
  <si>
    <t>2450859.326 </t>
  </si>
  <si>
    <t> 14.02.1998 19:49 </t>
  </si>
  <si>
    <t> 0.508 </t>
  </si>
  <si>
    <t>V </t>
  </si>
  <si>
    <t> K.Locher </t>
  </si>
  <si>
    <t>2450994.461 </t>
  </si>
  <si>
    <t> 29.06.1998 23:03 </t>
  </si>
  <si>
    <t> 0.151 </t>
  </si>
  <si>
    <t> BBS 118 </t>
  </si>
  <si>
    <t>2451166.222 </t>
  </si>
  <si>
    <t> 18.12.1998 17:19 </t>
  </si>
  <si>
    <t> 0.414 </t>
  </si>
  <si>
    <t> BBS 119 </t>
  </si>
  <si>
    <t>2451431.419 </t>
  </si>
  <si>
    <t> 09.09.1999 22:03 </t>
  </si>
  <si>
    <t> 0.312 </t>
  </si>
  <si>
    <t> BBS 121 </t>
  </si>
  <si>
    <t>2451575.3398 </t>
  </si>
  <si>
    <t> 31.01.2000 20:09 </t>
  </si>
  <si>
    <t> 0.2123 </t>
  </si>
  <si>
    <t> BBS 122 </t>
  </si>
  <si>
    <t>2451758.45496 </t>
  </si>
  <si>
    <t> 01.08.2000 22:55 </t>
  </si>
  <si>
    <t> 0.45996 </t>
  </si>
  <si>
    <t>C </t>
  </si>
  <si>
    <t>o</t>
  </si>
  <si>
    <t> J.Šafár </t>
  </si>
  <si>
    <t>OEJV 0074 </t>
  </si>
  <si>
    <t>2451782.44689 </t>
  </si>
  <si>
    <t> 25.08.2000 22:43 </t>
  </si>
  <si>
    <t> 0.76439 </t>
  </si>
  <si>
    <t>2451811.495 </t>
  </si>
  <si>
    <t> 23.09.2000 23:52 </t>
  </si>
  <si>
    <t> 0.440 </t>
  </si>
  <si>
    <t> BBS 123 </t>
  </si>
  <si>
    <t>2452219.38627 </t>
  </si>
  <si>
    <t> 05.11.2001 21:16 </t>
  </si>
  <si>
    <t> 0.90627 </t>
  </si>
  <si>
    <t>2452503.5237 </t>
  </si>
  <si>
    <t> 17.08.2002 00:34 </t>
  </si>
  <si>
    <t> 0.7937 </t>
  </si>
  <si>
    <t> BBS 128 </t>
  </si>
  <si>
    <t>2452532.581 </t>
  </si>
  <si>
    <t> 15.09.2002 01:56 </t>
  </si>
  <si>
    <t> 0.478 </t>
  </si>
  <si>
    <t> BBS 129 </t>
  </si>
  <si>
    <t>2452878.590 </t>
  </si>
  <si>
    <t> 27.08.2003 02:09 </t>
  </si>
  <si>
    <t> 0.650 </t>
  </si>
  <si>
    <t> BBS 130 </t>
  </si>
  <si>
    <t>2453233.443 </t>
  </si>
  <si>
    <t> 15.08.2004 22:37 </t>
  </si>
  <si>
    <t> 1.138 </t>
  </si>
  <si>
    <t>OEJV 0003 </t>
  </si>
  <si>
    <t>2453670.3797 </t>
  </si>
  <si>
    <t> 26.10.2005 21:06 </t>
  </si>
  <si>
    <t> 0.3297 </t>
  </si>
  <si>
    <t> Jungbluth </t>
  </si>
  <si>
    <t>BAVM 178 </t>
  </si>
  <si>
    <t>2455059.5049 </t>
  </si>
  <si>
    <t> 16.08.2009 00:07 </t>
  </si>
  <si>
    <t> 0.4199 </t>
  </si>
  <si>
    <t>-I</t>
  </si>
  <si>
    <t> F.Agerer </t>
  </si>
  <si>
    <t>BAVM 212 </t>
  </si>
  <si>
    <t>2455155.4815 </t>
  </si>
  <si>
    <t> 19.11.2009 23:33 </t>
  </si>
  <si>
    <t>15385.5</t>
  </si>
  <si>
    <t> 0.6990 </t>
  </si>
  <si>
    <t> U.Schmidt </t>
  </si>
  <si>
    <t>2455478.7628 </t>
  </si>
  <si>
    <t> 09.10.2010 06:18 </t>
  </si>
  <si>
    <t>15556</t>
  </si>
  <si>
    <t> 0.8828 </t>
  </si>
  <si>
    <t>IBVS 5960 </t>
  </si>
  <si>
    <t>2455491.3916 </t>
  </si>
  <si>
    <t> 21.10.2010 21:23 </t>
  </si>
  <si>
    <t>15562.5</t>
  </si>
  <si>
    <t> 1.1941 </t>
  </si>
  <si>
    <t>BAVM 215 </t>
  </si>
  <si>
    <t>2455910.6558 </t>
  </si>
  <si>
    <t> 15.12.2011 03:44 </t>
  </si>
  <si>
    <t>15784</t>
  </si>
  <si>
    <t> 0.7158 </t>
  </si>
  <si>
    <t>IBVS 6011 </t>
  </si>
  <si>
    <t>2456261.722 </t>
  </si>
  <si>
    <t> 30.11.2012 05:19 </t>
  </si>
  <si>
    <t>15969</t>
  </si>
  <si>
    <t> 1.207 </t>
  </si>
  <si>
    <t>IBVS 6042 </t>
  </si>
  <si>
    <t>II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</si>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</sst>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2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8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1" applyNumberFormat="0" applyFont="0" applyFill="0" applyAlignment="0" applyProtection="0"/>
  </cellStyleXfs>
  <cellXfs count="7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0" xfId="0" applyFont="1" applyAlignment="1"/>
    <xf numFmtId="0" fontId="0" fillId="0" borderId="0" xfId="0" applyBorder="1" applyAlignment="1"/>
    <xf numFmtId="0" fontId="0" fillId="0" borderId="0" xfId="0">
      <alignment vertical="top"/>
    </xf>
    <xf numFmtId="0" fontId="9" fillId="0" borderId="0" xfId="0" applyFont="1" applyAlignment="1"/>
    <xf numFmtId="0" fontId="10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9" fillId="0" borderId="0" xfId="0" applyFont="1" applyAlignment="1">
      <alignment horizontal="right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NumberFormat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 wrapText="1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4" xfId="0" applyFont="1" applyFill="1" applyBorder="1" applyAlignment="1">
      <alignment horizontal="center"/>
    </xf>
    <xf numFmtId="0" fontId="20" fillId="0" borderId="0" xfId="0" applyFont="1">
      <alignment vertical="top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22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22" fillId="2" borderId="11" xfId="7" applyFill="1" applyBorder="1" applyAlignment="1" applyProtection="1">
      <alignment horizontal="right" vertical="top" wrapText="1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0" fillId="3" borderId="0" xfId="0" applyFont="1" applyFill="1" applyAlignment="1"/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176" fontId="25" fillId="0" borderId="0" xfId="0" applyNumberFormat="1" applyFont="1" applyAlignment="1">
      <alignment vertical="center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BW Cas - O-C Diagr.</a:t>
            </a:r>
          </a:p>
        </c:rich>
      </c:tx>
      <c:layout>
        <c:manualLayout>
          <c:xMode val="edge"/>
          <c:yMode val="edge"/>
          <c:x val="0.40553600475030871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69326382613171"/>
          <c:y val="0.14328358208955225"/>
          <c:w val="0.85920678588342581"/>
          <c:h val="0.63880597014925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0.5</c:v>
                </c:pt>
                <c:pt idx="1">
                  <c:v>19566</c:v>
                </c:pt>
                <c:pt idx="2">
                  <c:v>19566</c:v>
                </c:pt>
                <c:pt idx="3">
                  <c:v>19601</c:v>
                </c:pt>
                <c:pt idx="4">
                  <c:v>19680</c:v>
                </c:pt>
                <c:pt idx="5">
                  <c:v>19684</c:v>
                </c:pt>
                <c:pt idx="6">
                  <c:v>19684</c:v>
                </c:pt>
                <c:pt idx="7">
                  <c:v>19791</c:v>
                </c:pt>
                <c:pt idx="8">
                  <c:v>19927</c:v>
                </c:pt>
                <c:pt idx="9">
                  <c:v>20137</c:v>
                </c:pt>
                <c:pt idx="10">
                  <c:v>20251</c:v>
                </c:pt>
                <c:pt idx="11">
                  <c:v>20396</c:v>
                </c:pt>
                <c:pt idx="12">
                  <c:v>20415</c:v>
                </c:pt>
                <c:pt idx="13">
                  <c:v>20438</c:v>
                </c:pt>
                <c:pt idx="14">
                  <c:v>20761</c:v>
                </c:pt>
                <c:pt idx="15">
                  <c:v>20924.5</c:v>
                </c:pt>
                <c:pt idx="16">
                  <c:v>20934.5</c:v>
                </c:pt>
                <c:pt idx="17">
                  <c:v>20949</c:v>
                </c:pt>
                <c:pt idx="18">
                  <c:v>20986</c:v>
                </c:pt>
                <c:pt idx="19">
                  <c:v>21009</c:v>
                </c:pt>
                <c:pt idx="20">
                  <c:v>21283</c:v>
                </c:pt>
                <c:pt idx="21">
                  <c:v>21564</c:v>
                </c:pt>
                <c:pt idx="22">
                  <c:v>21910</c:v>
                </c:pt>
                <c:pt idx="23">
                  <c:v>22144.5</c:v>
                </c:pt>
                <c:pt idx="24">
                  <c:v>22166</c:v>
                </c:pt>
                <c:pt idx="25">
                  <c:v>22169</c:v>
                </c:pt>
                <c:pt idx="26">
                  <c:v>23010</c:v>
                </c:pt>
                <c:pt idx="27">
                  <c:v>23086</c:v>
                </c:pt>
                <c:pt idx="28">
                  <c:v>23342</c:v>
                </c:pt>
                <c:pt idx="29">
                  <c:v>23352</c:v>
                </c:pt>
                <c:pt idx="30">
                  <c:v>23684</c:v>
                </c:pt>
                <c:pt idx="31">
                  <c:v>23962</c:v>
                </c:pt>
                <c:pt idx="32">
                  <c:v>23962</c:v>
                </c:pt>
                <c:pt idx="33">
                  <c:v>26348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C6-49C7-B40D-F3F8D2ABE0E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Active!$D$22:$D$46</c:f>
                <c:numCache>
                  <c:formatCode>General</c:formatCode>
                  <c:ptCount val="25"/>
                  <c:pt idx="0">
                    <c:v>2.0000000000000001E-4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6.9999999999999999E-4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2.3999999999999998E-3</c:v>
                  </c:pt>
                  <c:pt idx="11">
                    <c:v>4.0000000000000001E-3</c:v>
                  </c:pt>
                  <c:pt idx="12">
                    <c:v>0</c:v>
                  </c:pt>
                  <c:pt idx="13">
                    <c:v>1.5E-3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3.0000000000000001E-3</c:v>
                  </c:pt>
                  <c:pt idx="19">
                    <c:v>5.0000000000000001E-3</c:v>
                  </c:pt>
                  <c:pt idx="20">
                    <c:v>6.0000000000000001E-3</c:v>
                  </c:pt>
                  <c:pt idx="21">
                    <c:v>1E-3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0.5</c:v>
                </c:pt>
                <c:pt idx="1">
                  <c:v>19566</c:v>
                </c:pt>
                <c:pt idx="2">
                  <c:v>19566</c:v>
                </c:pt>
                <c:pt idx="3">
                  <c:v>19601</c:v>
                </c:pt>
                <c:pt idx="4">
                  <c:v>19680</c:v>
                </c:pt>
                <c:pt idx="5">
                  <c:v>19684</c:v>
                </c:pt>
                <c:pt idx="6">
                  <c:v>19684</c:v>
                </c:pt>
                <c:pt idx="7">
                  <c:v>19791</c:v>
                </c:pt>
                <c:pt idx="8">
                  <c:v>19927</c:v>
                </c:pt>
                <c:pt idx="9">
                  <c:v>20137</c:v>
                </c:pt>
                <c:pt idx="10">
                  <c:v>20251</c:v>
                </c:pt>
                <c:pt idx="11">
                  <c:v>20396</c:v>
                </c:pt>
                <c:pt idx="12">
                  <c:v>20415</c:v>
                </c:pt>
                <c:pt idx="13">
                  <c:v>20438</c:v>
                </c:pt>
                <c:pt idx="14">
                  <c:v>20761</c:v>
                </c:pt>
                <c:pt idx="15">
                  <c:v>20924.5</c:v>
                </c:pt>
                <c:pt idx="16">
                  <c:v>20934.5</c:v>
                </c:pt>
                <c:pt idx="17">
                  <c:v>20949</c:v>
                </c:pt>
                <c:pt idx="18">
                  <c:v>20986</c:v>
                </c:pt>
                <c:pt idx="19">
                  <c:v>21009</c:v>
                </c:pt>
                <c:pt idx="20">
                  <c:v>21283</c:v>
                </c:pt>
                <c:pt idx="21">
                  <c:v>21564</c:v>
                </c:pt>
                <c:pt idx="22">
                  <c:v>21910</c:v>
                </c:pt>
                <c:pt idx="23">
                  <c:v>22144.5</c:v>
                </c:pt>
                <c:pt idx="24">
                  <c:v>22166</c:v>
                </c:pt>
                <c:pt idx="25">
                  <c:v>22169</c:v>
                </c:pt>
                <c:pt idx="26">
                  <c:v>23010</c:v>
                </c:pt>
                <c:pt idx="27">
                  <c:v>23086</c:v>
                </c:pt>
                <c:pt idx="28">
                  <c:v>23342</c:v>
                </c:pt>
                <c:pt idx="29">
                  <c:v>23352</c:v>
                </c:pt>
                <c:pt idx="30">
                  <c:v>23684</c:v>
                </c:pt>
                <c:pt idx="31">
                  <c:v>23962</c:v>
                </c:pt>
                <c:pt idx="32">
                  <c:v>23962</c:v>
                </c:pt>
                <c:pt idx="33">
                  <c:v>26348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  <c:pt idx="6">
                  <c:v>-0.19449999999778811</c:v>
                </c:pt>
                <c:pt idx="7">
                  <c:v>-0.20049999999901047</c:v>
                </c:pt>
                <c:pt idx="8">
                  <c:v>-0.20749999999679858</c:v>
                </c:pt>
                <c:pt idx="9">
                  <c:v>-0.24049999999260763</c:v>
                </c:pt>
                <c:pt idx="19">
                  <c:v>-0.41449999999895226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C6-49C7-B40D-F3F8D2ABE0E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Active!$D$21:$D$46</c:f>
                <c:numCache>
                  <c:formatCode>General</c:formatCode>
                  <c:ptCount val="26"/>
                  <c:pt idx="0">
                    <c:v>0</c:v>
                  </c:pt>
                  <c:pt idx="1">
                    <c:v>2.0000000000000001E-4</c:v>
                  </c:pt>
                  <c:pt idx="3">
                    <c:v>1E-3</c:v>
                  </c:pt>
                  <c:pt idx="4">
                    <c:v>8.0000000000000004E-4</c:v>
                  </c:pt>
                  <c:pt idx="5">
                    <c:v>6.9999999999999999E-4</c:v>
                  </c:pt>
                  <c:pt idx="6">
                    <c:v>7.0000000000000001E-3</c:v>
                  </c:pt>
                  <c:pt idx="7">
                    <c:v>5.0000000000000001E-3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2.3999999999999998E-3</c:v>
                  </c:pt>
                  <c:pt idx="12">
                    <c:v>4.0000000000000001E-3</c:v>
                  </c:pt>
                  <c:pt idx="13">
                    <c:v>0</c:v>
                  </c:pt>
                  <c:pt idx="14">
                    <c:v>1.5E-3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5.0000000000000001E-3</c:v>
                  </c:pt>
                  <c:pt idx="21">
                    <c:v>6.0000000000000001E-3</c:v>
                  </c:pt>
                  <c:pt idx="22">
                    <c:v>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numCache>
              </c:numRef>
            </c:plus>
            <c:minus>
              <c:numRef>
                <c:f>Active!$D$21:$D$46</c:f>
                <c:numCache>
                  <c:formatCode>General</c:formatCode>
                  <c:ptCount val="26"/>
                  <c:pt idx="0">
                    <c:v>0</c:v>
                  </c:pt>
                  <c:pt idx="1">
                    <c:v>2.0000000000000001E-4</c:v>
                  </c:pt>
                  <c:pt idx="3">
                    <c:v>1E-3</c:v>
                  </c:pt>
                  <c:pt idx="4">
                    <c:v>8.0000000000000004E-4</c:v>
                  </c:pt>
                  <c:pt idx="5">
                    <c:v>6.9999999999999999E-4</c:v>
                  </c:pt>
                  <c:pt idx="6">
                    <c:v>7.0000000000000001E-3</c:v>
                  </c:pt>
                  <c:pt idx="7">
                    <c:v>5.0000000000000001E-3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2.3999999999999998E-3</c:v>
                  </c:pt>
                  <c:pt idx="12">
                    <c:v>4.0000000000000001E-3</c:v>
                  </c:pt>
                  <c:pt idx="13">
                    <c:v>0</c:v>
                  </c:pt>
                  <c:pt idx="14">
                    <c:v>1.5E-3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5.0000000000000001E-3</c:v>
                  </c:pt>
                  <c:pt idx="21">
                    <c:v>6.0000000000000001E-3</c:v>
                  </c:pt>
                  <c:pt idx="22">
                    <c:v>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0.5</c:v>
                </c:pt>
                <c:pt idx="1">
                  <c:v>19566</c:v>
                </c:pt>
                <c:pt idx="2">
                  <c:v>19566</c:v>
                </c:pt>
                <c:pt idx="3">
                  <c:v>19601</c:v>
                </c:pt>
                <c:pt idx="4">
                  <c:v>19680</c:v>
                </c:pt>
                <c:pt idx="5">
                  <c:v>19684</c:v>
                </c:pt>
                <c:pt idx="6">
                  <c:v>19684</c:v>
                </c:pt>
                <c:pt idx="7">
                  <c:v>19791</c:v>
                </c:pt>
                <c:pt idx="8">
                  <c:v>19927</c:v>
                </c:pt>
                <c:pt idx="9">
                  <c:v>20137</c:v>
                </c:pt>
                <c:pt idx="10">
                  <c:v>20251</c:v>
                </c:pt>
                <c:pt idx="11">
                  <c:v>20396</c:v>
                </c:pt>
                <c:pt idx="12">
                  <c:v>20415</c:v>
                </c:pt>
                <c:pt idx="13">
                  <c:v>20438</c:v>
                </c:pt>
                <c:pt idx="14">
                  <c:v>20761</c:v>
                </c:pt>
                <c:pt idx="15">
                  <c:v>20924.5</c:v>
                </c:pt>
                <c:pt idx="16">
                  <c:v>20934.5</c:v>
                </c:pt>
                <c:pt idx="17">
                  <c:v>20949</c:v>
                </c:pt>
                <c:pt idx="18">
                  <c:v>20986</c:v>
                </c:pt>
                <c:pt idx="19">
                  <c:v>21009</c:v>
                </c:pt>
                <c:pt idx="20">
                  <c:v>21283</c:v>
                </c:pt>
                <c:pt idx="21">
                  <c:v>21564</c:v>
                </c:pt>
                <c:pt idx="22">
                  <c:v>21910</c:v>
                </c:pt>
                <c:pt idx="23">
                  <c:v>22144.5</c:v>
                </c:pt>
                <c:pt idx="24">
                  <c:v>22166</c:v>
                </c:pt>
                <c:pt idx="25">
                  <c:v>22169</c:v>
                </c:pt>
                <c:pt idx="26">
                  <c:v>23010</c:v>
                </c:pt>
                <c:pt idx="27">
                  <c:v>23086</c:v>
                </c:pt>
                <c:pt idx="28">
                  <c:v>23342</c:v>
                </c:pt>
                <c:pt idx="29">
                  <c:v>23352</c:v>
                </c:pt>
                <c:pt idx="30">
                  <c:v>23684</c:v>
                </c:pt>
                <c:pt idx="31">
                  <c:v>23962</c:v>
                </c:pt>
                <c:pt idx="32">
                  <c:v>23962</c:v>
                </c:pt>
                <c:pt idx="33">
                  <c:v>26348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  <c:pt idx="1">
                  <c:v>-0.18920000000071013</c:v>
                </c:pt>
                <c:pt idx="2">
                  <c:v>-0.18920000000071013</c:v>
                </c:pt>
                <c:pt idx="3">
                  <c:v>-0.18839999999909196</c:v>
                </c:pt>
                <c:pt idx="4">
                  <c:v>-0.2011999999958789</c:v>
                </c:pt>
                <c:pt idx="5">
                  <c:v>-0.20549999999639113</c:v>
                </c:pt>
                <c:pt idx="22">
                  <c:v>-0.57879999999568099</c:v>
                </c:pt>
                <c:pt idx="29">
                  <c:v>-0.81289999998989515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CC6-49C7-B40D-F3F8D2ABE0E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0.5</c:v>
                </c:pt>
                <c:pt idx="1">
                  <c:v>19566</c:v>
                </c:pt>
                <c:pt idx="2">
                  <c:v>19566</c:v>
                </c:pt>
                <c:pt idx="3">
                  <c:v>19601</c:v>
                </c:pt>
                <c:pt idx="4">
                  <c:v>19680</c:v>
                </c:pt>
                <c:pt idx="5">
                  <c:v>19684</c:v>
                </c:pt>
                <c:pt idx="6">
                  <c:v>19684</c:v>
                </c:pt>
                <c:pt idx="7">
                  <c:v>19791</c:v>
                </c:pt>
                <c:pt idx="8">
                  <c:v>19927</c:v>
                </c:pt>
                <c:pt idx="9">
                  <c:v>20137</c:v>
                </c:pt>
                <c:pt idx="10">
                  <c:v>20251</c:v>
                </c:pt>
                <c:pt idx="11">
                  <c:v>20396</c:v>
                </c:pt>
                <c:pt idx="12">
                  <c:v>20415</c:v>
                </c:pt>
                <c:pt idx="13">
                  <c:v>20438</c:v>
                </c:pt>
                <c:pt idx="14">
                  <c:v>20761</c:v>
                </c:pt>
                <c:pt idx="15">
                  <c:v>20924.5</c:v>
                </c:pt>
                <c:pt idx="16">
                  <c:v>20934.5</c:v>
                </c:pt>
                <c:pt idx="17">
                  <c:v>20949</c:v>
                </c:pt>
                <c:pt idx="18">
                  <c:v>20986</c:v>
                </c:pt>
                <c:pt idx="19">
                  <c:v>21009</c:v>
                </c:pt>
                <c:pt idx="20">
                  <c:v>21283</c:v>
                </c:pt>
                <c:pt idx="21">
                  <c:v>21564</c:v>
                </c:pt>
                <c:pt idx="22">
                  <c:v>21910</c:v>
                </c:pt>
                <c:pt idx="23">
                  <c:v>22144.5</c:v>
                </c:pt>
                <c:pt idx="24">
                  <c:v>22166</c:v>
                </c:pt>
                <c:pt idx="25">
                  <c:v>22169</c:v>
                </c:pt>
                <c:pt idx="26">
                  <c:v>23010</c:v>
                </c:pt>
                <c:pt idx="27">
                  <c:v>23086</c:v>
                </c:pt>
                <c:pt idx="28">
                  <c:v>23342</c:v>
                </c:pt>
                <c:pt idx="29">
                  <c:v>23352</c:v>
                </c:pt>
                <c:pt idx="30">
                  <c:v>23684</c:v>
                </c:pt>
                <c:pt idx="31">
                  <c:v>23962</c:v>
                </c:pt>
                <c:pt idx="32">
                  <c:v>23962</c:v>
                </c:pt>
                <c:pt idx="33">
                  <c:v>26348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  <c:pt idx="10">
                  <c:v>-0.30169999999634456</c:v>
                </c:pt>
                <c:pt idx="11">
                  <c:v>-0.32153999998990912</c:v>
                </c:pt>
                <c:pt idx="12">
                  <c:v>-0.32660999999643536</c:v>
                </c:pt>
                <c:pt idx="13">
                  <c:v>-0.32749999999214197</c:v>
                </c:pt>
                <c:pt idx="14">
                  <c:v>-0.385229999992589</c:v>
                </c:pt>
                <c:pt idx="16">
                  <c:v>-0.46100000000296859</c:v>
                </c:pt>
                <c:pt idx="18">
                  <c:v>-0.4228000000002794</c:v>
                </c:pt>
                <c:pt idx="20">
                  <c:v>-0.46749999999883585</c:v>
                </c:pt>
                <c:pt idx="21">
                  <c:v>-0.51750000000174623</c:v>
                </c:pt>
                <c:pt idx="23">
                  <c:v>-0.62355999999999767</c:v>
                </c:pt>
                <c:pt idx="25">
                  <c:v>-0.56964999999036081</c:v>
                </c:pt>
                <c:pt idx="26">
                  <c:v>-0.75359999999636784</c:v>
                </c:pt>
                <c:pt idx="27">
                  <c:v>-0.76499999999214197</c:v>
                </c:pt>
                <c:pt idx="28">
                  <c:v>-0.81169999999838183</c:v>
                </c:pt>
                <c:pt idx="30">
                  <c:v>-0.86469999999826541</c:v>
                </c:pt>
                <c:pt idx="31">
                  <c:v>-0.91249999999854481</c:v>
                </c:pt>
                <c:pt idx="32">
                  <c:v>-0.91150000000197906</c:v>
                </c:pt>
                <c:pt idx="33">
                  <c:v>-0.65669999999954598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CC6-49C7-B40D-F3F8D2ABE0E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0.5</c:v>
                </c:pt>
                <c:pt idx="1">
                  <c:v>19566</c:v>
                </c:pt>
                <c:pt idx="2">
                  <c:v>19566</c:v>
                </c:pt>
                <c:pt idx="3">
                  <c:v>19601</c:v>
                </c:pt>
                <c:pt idx="4">
                  <c:v>19680</c:v>
                </c:pt>
                <c:pt idx="5">
                  <c:v>19684</c:v>
                </c:pt>
                <c:pt idx="6">
                  <c:v>19684</c:v>
                </c:pt>
                <c:pt idx="7">
                  <c:v>19791</c:v>
                </c:pt>
                <c:pt idx="8">
                  <c:v>19927</c:v>
                </c:pt>
                <c:pt idx="9">
                  <c:v>20137</c:v>
                </c:pt>
                <c:pt idx="10">
                  <c:v>20251</c:v>
                </c:pt>
                <c:pt idx="11">
                  <c:v>20396</c:v>
                </c:pt>
                <c:pt idx="12">
                  <c:v>20415</c:v>
                </c:pt>
                <c:pt idx="13">
                  <c:v>20438</c:v>
                </c:pt>
                <c:pt idx="14">
                  <c:v>20761</c:v>
                </c:pt>
                <c:pt idx="15">
                  <c:v>20924.5</c:v>
                </c:pt>
                <c:pt idx="16">
                  <c:v>20934.5</c:v>
                </c:pt>
                <c:pt idx="17">
                  <c:v>20949</c:v>
                </c:pt>
                <c:pt idx="18">
                  <c:v>20986</c:v>
                </c:pt>
                <c:pt idx="19">
                  <c:v>21009</c:v>
                </c:pt>
                <c:pt idx="20">
                  <c:v>21283</c:v>
                </c:pt>
                <c:pt idx="21">
                  <c:v>21564</c:v>
                </c:pt>
                <c:pt idx="22">
                  <c:v>21910</c:v>
                </c:pt>
                <c:pt idx="23">
                  <c:v>22144.5</c:v>
                </c:pt>
                <c:pt idx="24">
                  <c:v>22166</c:v>
                </c:pt>
                <c:pt idx="25">
                  <c:v>22169</c:v>
                </c:pt>
                <c:pt idx="26">
                  <c:v>23010</c:v>
                </c:pt>
                <c:pt idx="27">
                  <c:v>23086</c:v>
                </c:pt>
                <c:pt idx="28">
                  <c:v>23342</c:v>
                </c:pt>
                <c:pt idx="29">
                  <c:v>23352</c:v>
                </c:pt>
                <c:pt idx="30">
                  <c:v>23684</c:v>
                </c:pt>
                <c:pt idx="31">
                  <c:v>23962</c:v>
                </c:pt>
                <c:pt idx="32">
                  <c:v>23962</c:v>
                </c:pt>
                <c:pt idx="33">
                  <c:v>26348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CC6-49C7-B40D-F3F8D2ABE0E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0.5</c:v>
                </c:pt>
                <c:pt idx="1">
                  <c:v>19566</c:v>
                </c:pt>
                <c:pt idx="2">
                  <c:v>19566</c:v>
                </c:pt>
                <c:pt idx="3">
                  <c:v>19601</c:v>
                </c:pt>
                <c:pt idx="4">
                  <c:v>19680</c:v>
                </c:pt>
                <c:pt idx="5">
                  <c:v>19684</c:v>
                </c:pt>
                <c:pt idx="6">
                  <c:v>19684</c:v>
                </c:pt>
                <c:pt idx="7">
                  <c:v>19791</c:v>
                </c:pt>
                <c:pt idx="8">
                  <c:v>19927</c:v>
                </c:pt>
                <c:pt idx="9">
                  <c:v>20137</c:v>
                </c:pt>
                <c:pt idx="10">
                  <c:v>20251</c:v>
                </c:pt>
                <c:pt idx="11">
                  <c:v>20396</c:v>
                </c:pt>
                <c:pt idx="12">
                  <c:v>20415</c:v>
                </c:pt>
                <c:pt idx="13">
                  <c:v>20438</c:v>
                </c:pt>
                <c:pt idx="14">
                  <c:v>20761</c:v>
                </c:pt>
                <c:pt idx="15">
                  <c:v>20924.5</c:v>
                </c:pt>
                <c:pt idx="16">
                  <c:v>20934.5</c:v>
                </c:pt>
                <c:pt idx="17">
                  <c:v>20949</c:v>
                </c:pt>
                <c:pt idx="18">
                  <c:v>20986</c:v>
                </c:pt>
                <c:pt idx="19">
                  <c:v>21009</c:v>
                </c:pt>
                <c:pt idx="20">
                  <c:v>21283</c:v>
                </c:pt>
                <c:pt idx="21">
                  <c:v>21564</c:v>
                </c:pt>
                <c:pt idx="22">
                  <c:v>21910</c:v>
                </c:pt>
                <c:pt idx="23">
                  <c:v>22144.5</c:v>
                </c:pt>
                <c:pt idx="24">
                  <c:v>22166</c:v>
                </c:pt>
                <c:pt idx="25">
                  <c:v>22169</c:v>
                </c:pt>
                <c:pt idx="26">
                  <c:v>23010</c:v>
                </c:pt>
                <c:pt idx="27">
                  <c:v>23086</c:v>
                </c:pt>
                <c:pt idx="28">
                  <c:v>23342</c:v>
                </c:pt>
                <c:pt idx="29">
                  <c:v>23352</c:v>
                </c:pt>
                <c:pt idx="30">
                  <c:v>23684</c:v>
                </c:pt>
                <c:pt idx="31">
                  <c:v>23962</c:v>
                </c:pt>
                <c:pt idx="32">
                  <c:v>23962</c:v>
                </c:pt>
                <c:pt idx="33">
                  <c:v>26348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CC6-49C7-B40D-F3F8D2ABE0E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0.5</c:v>
                </c:pt>
                <c:pt idx="1">
                  <c:v>19566</c:v>
                </c:pt>
                <c:pt idx="2">
                  <c:v>19566</c:v>
                </c:pt>
                <c:pt idx="3">
                  <c:v>19601</c:v>
                </c:pt>
                <c:pt idx="4">
                  <c:v>19680</c:v>
                </c:pt>
                <c:pt idx="5">
                  <c:v>19684</c:v>
                </c:pt>
                <c:pt idx="6">
                  <c:v>19684</c:v>
                </c:pt>
                <c:pt idx="7">
                  <c:v>19791</c:v>
                </c:pt>
                <c:pt idx="8">
                  <c:v>19927</c:v>
                </c:pt>
                <c:pt idx="9">
                  <c:v>20137</c:v>
                </c:pt>
                <c:pt idx="10">
                  <c:v>20251</c:v>
                </c:pt>
                <c:pt idx="11">
                  <c:v>20396</c:v>
                </c:pt>
                <c:pt idx="12">
                  <c:v>20415</c:v>
                </c:pt>
                <c:pt idx="13">
                  <c:v>20438</c:v>
                </c:pt>
                <c:pt idx="14">
                  <c:v>20761</c:v>
                </c:pt>
                <c:pt idx="15">
                  <c:v>20924.5</c:v>
                </c:pt>
                <c:pt idx="16">
                  <c:v>20934.5</c:v>
                </c:pt>
                <c:pt idx="17">
                  <c:v>20949</c:v>
                </c:pt>
                <c:pt idx="18">
                  <c:v>20986</c:v>
                </c:pt>
                <c:pt idx="19">
                  <c:v>21009</c:v>
                </c:pt>
                <c:pt idx="20">
                  <c:v>21283</c:v>
                </c:pt>
                <c:pt idx="21">
                  <c:v>21564</c:v>
                </c:pt>
                <c:pt idx="22">
                  <c:v>21910</c:v>
                </c:pt>
                <c:pt idx="23">
                  <c:v>22144.5</c:v>
                </c:pt>
                <c:pt idx="24">
                  <c:v>22166</c:v>
                </c:pt>
                <c:pt idx="25">
                  <c:v>22169</c:v>
                </c:pt>
                <c:pt idx="26">
                  <c:v>23010</c:v>
                </c:pt>
                <c:pt idx="27">
                  <c:v>23086</c:v>
                </c:pt>
                <c:pt idx="28">
                  <c:v>23342</c:v>
                </c:pt>
                <c:pt idx="29">
                  <c:v>23352</c:v>
                </c:pt>
                <c:pt idx="30">
                  <c:v>23684</c:v>
                </c:pt>
                <c:pt idx="31">
                  <c:v>23962</c:v>
                </c:pt>
                <c:pt idx="32">
                  <c:v>23962</c:v>
                </c:pt>
                <c:pt idx="33">
                  <c:v>26348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CC6-49C7-B40D-F3F8D2ABE0E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0.5</c:v>
                </c:pt>
                <c:pt idx="1">
                  <c:v>19566</c:v>
                </c:pt>
                <c:pt idx="2">
                  <c:v>19566</c:v>
                </c:pt>
                <c:pt idx="3">
                  <c:v>19601</c:v>
                </c:pt>
                <c:pt idx="4">
                  <c:v>19680</c:v>
                </c:pt>
                <c:pt idx="5">
                  <c:v>19684</c:v>
                </c:pt>
                <c:pt idx="6">
                  <c:v>19684</c:v>
                </c:pt>
                <c:pt idx="7">
                  <c:v>19791</c:v>
                </c:pt>
                <c:pt idx="8">
                  <c:v>19927</c:v>
                </c:pt>
                <c:pt idx="9">
                  <c:v>20137</c:v>
                </c:pt>
                <c:pt idx="10">
                  <c:v>20251</c:v>
                </c:pt>
                <c:pt idx="11">
                  <c:v>20396</c:v>
                </c:pt>
                <c:pt idx="12">
                  <c:v>20415</c:v>
                </c:pt>
                <c:pt idx="13">
                  <c:v>20438</c:v>
                </c:pt>
                <c:pt idx="14">
                  <c:v>20761</c:v>
                </c:pt>
                <c:pt idx="15">
                  <c:v>20924.5</c:v>
                </c:pt>
                <c:pt idx="16">
                  <c:v>20934.5</c:v>
                </c:pt>
                <c:pt idx="17">
                  <c:v>20949</c:v>
                </c:pt>
                <c:pt idx="18">
                  <c:v>20986</c:v>
                </c:pt>
                <c:pt idx="19">
                  <c:v>21009</c:v>
                </c:pt>
                <c:pt idx="20">
                  <c:v>21283</c:v>
                </c:pt>
                <c:pt idx="21">
                  <c:v>21564</c:v>
                </c:pt>
                <c:pt idx="22">
                  <c:v>21910</c:v>
                </c:pt>
                <c:pt idx="23">
                  <c:v>22144.5</c:v>
                </c:pt>
                <c:pt idx="24">
                  <c:v>22166</c:v>
                </c:pt>
                <c:pt idx="25">
                  <c:v>22169</c:v>
                </c:pt>
                <c:pt idx="26">
                  <c:v>23010</c:v>
                </c:pt>
                <c:pt idx="27">
                  <c:v>23086</c:v>
                </c:pt>
                <c:pt idx="28">
                  <c:v>23342</c:v>
                </c:pt>
                <c:pt idx="29">
                  <c:v>23352</c:v>
                </c:pt>
                <c:pt idx="30">
                  <c:v>23684</c:v>
                </c:pt>
                <c:pt idx="31">
                  <c:v>23962</c:v>
                </c:pt>
                <c:pt idx="32">
                  <c:v>23962</c:v>
                </c:pt>
                <c:pt idx="33">
                  <c:v>26348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0">
                  <c:v>2.3171346062964862</c:v>
                </c:pt>
                <c:pt idx="1">
                  <c:v>-0.22623998215602903</c:v>
                </c:pt>
                <c:pt idx="2">
                  <c:v>-0.22623998215602903</c:v>
                </c:pt>
                <c:pt idx="3">
                  <c:v>-0.23078973097900013</c:v>
                </c:pt>
                <c:pt idx="4">
                  <c:v>-0.24105916403656291</c:v>
                </c:pt>
                <c:pt idx="5">
                  <c:v>-0.2415791353306167</c:v>
                </c:pt>
                <c:pt idx="6">
                  <c:v>-0.2415791353306167</c:v>
                </c:pt>
                <c:pt idx="7">
                  <c:v>-0.25548836744655645</c:v>
                </c:pt>
                <c:pt idx="8">
                  <c:v>-0.27316739144438662</c:v>
                </c:pt>
                <c:pt idx="9">
                  <c:v>-0.30046588438221233</c:v>
                </c:pt>
                <c:pt idx="10">
                  <c:v>-0.31528506626274622</c:v>
                </c:pt>
                <c:pt idx="11">
                  <c:v>-0.33413402567219741</c:v>
                </c:pt>
                <c:pt idx="12">
                  <c:v>-0.33660388931895291</c:v>
                </c:pt>
                <c:pt idx="13">
                  <c:v>-0.3395937242597622</c:v>
                </c:pt>
                <c:pt idx="14">
                  <c:v>-0.38158140625460835</c:v>
                </c:pt>
                <c:pt idx="15">
                  <c:v>-0.40283523289905876</c:v>
                </c:pt>
                <c:pt idx="16">
                  <c:v>-0.40413516113419323</c:v>
                </c:pt>
                <c:pt idx="17">
                  <c:v>-0.40602005707513822</c:v>
                </c:pt>
                <c:pt idx="18">
                  <c:v>-0.41082979154513621</c:v>
                </c:pt>
                <c:pt idx="19">
                  <c:v>-0.4138196264859455</c:v>
                </c:pt>
                <c:pt idx="20">
                  <c:v>-0.44943766012863229</c:v>
                </c:pt>
                <c:pt idx="21">
                  <c:v>-0.48596564353591321</c:v>
                </c:pt>
                <c:pt idx="22">
                  <c:v>-0.53094316047156909</c:v>
                </c:pt>
                <c:pt idx="23">
                  <c:v>-0.56142647758547426</c:v>
                </c:pt>
                <c:pt idx="24">
                  <c:v>-0.56422132329101382</c:v>
                </c:pt>
                <c:pt idx="25">
                  <c:v>-0.56461130176155416</c:v>
                </c:pt>
                <c:pt idx="26">
                  <c:v>-0.67393526633637002</c:v>
                </c:pt>
                <c:pt idx="27">
                  <c:v>-0.6838147209233929</c:v>
                </c:pt>
                <c:pt idx="28">
                  <c:v>-0.71709288374283764</c:v>
                </c:pt>
                <c:pt idx="29">
                  <c:v>-0.71839281197797211</c:v>
                </c:pt>
                <c:pt idx="30">
                  <c:v>-0.76155042938443929</c:v>
                </c:pt>
                <c:pt idx="31">
                  <c:v>-0.79768843432117986</c:v>
                </c:pt>
                <c:pt idx="32">
                  <c:v>-0.79768843432117986</c:v>
                </c:pt>
                <c:pt idx="33">
                  <c:v>-1.1078513112242847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CC6-49C7-B40D-F3F8D2ABE0E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2.0000000000000001E-4</c:v>
                  </c:pt>
                  <c:pt idx="3">
                    <c:v>1E-3</c:v>
                  </c:pt>
                  <c:pt idx="4">
                    <c:v>8.0000000000000004E-4</c:v>
                  </c:pt>
                  <c:pt idx="5">
                    <c:v>6.9999999999999999E-4</c:v>
                  </c:pt>
                  <c:pt idx="6">
                    <c:v>7.0000000000000001E-3</c:v>
                  </c:pt>
                  <c:pt idx="7">
                    <c:v>5.0000000000000001E-3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2.3999999999999998E-3</c:v>
                  </c:pt>
                  <c:pt idx="12">
                    <c:v>4.0000000000000001E-3</c:v>
                  </c:pt>
                  <c:pt idx="13">
                    <c:v>0</c:v>
                  </c:pt>
                  <c:pt idx="14">
                    <c:v>1.5E-3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5.0000000000000001E-3</c:v>
                  </c:pt>
                  <c:pt idx="21">
                    <c:v>6.0000000000000001E-3</c:v>
                  </c:pt>
                  <c:pt idx="22">
                    <c:v>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4.3E-3</c:v>
                  </c:pt>
                  <c:pt idx="30">
                    <c:v>5.0000000000000001E-4</c:v>
                  </c:pt>
                  <c:pt idx="31">
                    <c:v>0</c:v>
                  </c:pt>
                  <c:pt idx="32">
                    <c:v>3.0000000000000003E-4</c:v>
                  </c:pt>
                  <c:pt idx="33">
                    <c:v>2.9999999999999997E-4</c:v>
                  </c:pt>
                </c:numCache>
              </c:numRef>
            </c:plus>
            <c:min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2.0000000000000001E-4</c:v>
                  </c:pt>
                  <c:pt idx="3">
                    <c:v>1E-3</c:v>
                  </c:pt>
                  <c:pt idx="4">
                    <c:v>8.0000000000000004E-4</c:v>
                  </c:pt>
                  <c:pt idx="5">
                    <c:v>6.9999999999999999E-4</c:v>
                  </c:pt>
                  <c:pt idx="6">
                    <c:v>7.0000000000000001E-3</c:v>
                  </c:pt>
                  <c:pt idx="7">
                    <c:v>5.0000000000000001E-3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2.3999999999999998E-3</c:v>
                  </c:pt>
                  <c:pt idx="12">
                    <c:v>4.0000000000000001E-3</c:v>
                  </c:pt>
                  <c:pt idx="13">
                    <c:v>0</c:v>
                  </c:pt>
                  <c:pt idx="14">
                    <c:v>1.5E-3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5.0000000000000001E-3</c:v>
                  </c:pt>
                  <c:pt idx="21">
                    <c:v>6.0000000000000001E-3</c:v>
                  </c:pt>
                  <c:pt idx="22">
                    <c:v>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4.3E-3</c:v>
                  </c:pt>
                  <c:pt idx="30">
                    <c:v>5.0000000000000001E-4</c:v>
                  </c:pt>
                  <c:pt idx="31">
                    <c:v>0</c:v>
                  </c:pt>
                  <c:pt idx="32">
                    <c:v>3.0000000000000003E-4</c:v>
                  </c:pt>
                  <c:pt idx="3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0.5</c:v>
                </c:pt>
                <c:pt idx="1">
                  <c:v>19566</c:v>
                </c:pt>
                <c:pt idx="2">
                  <c:v>19566</c:v>
                </c:pt>
                <c:pt idx="3">
                  <c:v>19601</c:v>
                </c:pt>
                <c:pt idx="4">
                  <c:v>19680</c:v>
                </c:pt>
                <c:pt idx="5">
                  <c:v>19684</c:v>
                </c:pt>
                <c:pt idx="6">
                  <c:v>19684</c:v>
                </c:pt>
                <c:pt idx="7">
                  <c:v>19791</c:v>
                </c:pt>
                <c:pt idx="8">
                  <c:v>19927</c:v>
                </c:pt>
                <c:pt idx="9">
                  <c:v>20137</c:v>
                </c:pt>
                <c:pt idx="10">
                  <c:v>20251</c:v>
                </c:pt>
                <c:pt idx="11">
                  <c:v>20396</c:v>
                </c:pt>
                <c:pt idx="12">
                  <c:v>20415</c:v>
                </c:pt>
                <c:pt idx="13">
                  <c:v>20438</c:v>
                </c:pt>
                <c:pt idx="14">
                  <c:v>20761</c:v>
                </c:pt>
                <c:pt idx="15">
                  <c:v>20924.5</c:v>
                </c:pt>
                <c:pt idx="16">
                  <c:v>20934.5</c:v>
                </c:pt>
                <c:pt idx="17">
                  <c:v>20949</c:v>
                </c:pt>
                <c:pt idx="18">
                  <c:v>20986</c:v>
                </c:pt>
                <c:pt idx="19">
                  <c:v>21009</c:v>
                </c:pt>
                <c:pt idx="20">
                  <c:v>21283</c:v>
                </c:pt>
                <c:pt idx="21">
                  <c:v>21564</c:v>
                </c:pt>
                <c:pt idx="22">
                  <c:v>21910</c:v>
                </c:pt>
                <c:pt idx="23">
                  <c:v>22144.5</c:v>
                </c:pt>
                <c:pt idx="24">
                  <c:v>22166</c:v>
                </c:pt>
                <c:pt idx="25">
                  <c:v>22169</c:v>
                </c:pt>
                <c:pt idx="26">
                  <c:v>23010</c:v>
                </c:pt>
                <c:pt idx="27">
                  <c:v>23086</c:v>
                </c:pt>
                <c:pt idx="28">
                  <c:v>23342</c:v>
                </c:pt>
                <c:pt idx="29">
                  <c:v>23352</c:v>
                </c:pt>
                <c:pt idx="30">
                  <c:v>23684</c:v>
                </c:pt>
                <c:pt idx="31">
                  <c:v>23962</c:v>
                </c:pt>
                <c:pt idx="32">
                  <c:v>23962</c:v>
                </c:pt>
                <c:pt idx="33">
                  <c:v>26348</c:v>
                </c:pt>
              </c:numCache>
            </c:numRef>
          </c:xVal>
          <c:yVal>
            <c:numRef>
              <c:f>Active!$U$21:$U$995</c:f>
              <c:numCache>
                <c:formatCode>General</c:formatCode>
                <c:ptCount val="975"/>
                <c:pt idx="15">
                  <c:v>-0.91199999999662396</c:v>
                </c:pt>
                <c:pt idx="17">
                  <c:v>-0.80550999999832129</c:v>
                </c:pt>
                <c:pt idx="24">
                  <c:v>-0.85921000000234926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CC6-49C7-B40D-F3F8D2ABE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1565472"/>
        <c:axId val="1"/>
      </c:scatterChart>
      <c:valAx>
        <c:axId val="591565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0595967922782"/>
              <c:y val="0.841791044776119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4524669073405534E-2"/>
              <c:y val="0.373134328358208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15654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909772560018445"/>
          <c:y val="0.92238805970149251"/>
          <c:w val="0.56799100473451647"/>
          <c:h val="5.97014925373133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BW Cas - O-C Diagr.</a:t>
            </a:r>
          </a:p>
        </c:rich>
      </c:tx>
      <c:layout>
        <c:manualLayout>
          <c:xMode val="edge"/>
          <c:yMode val="edge"/>
          <c:x val="0.37440033595800526"/>
          <c:y val="3.57142857142857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20010250008007"/>
          <c:y val="0.14285755806349418"/>
          <c:w val="0.81920064000049997"/>
          <c:h val="0.639882812159401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0.5</c:v>
                </c:pt>
                <c:pt idx="1">
                  <c:v>19566</c:v>
                </c:pt>
                <c:pt idx="2">
                  <c:v>19566</c:v>
                </c:pt>
                <c:pt idx="3">
                  <c:v>19601</c:v>
                </c:pt>
                <c:pt idx="4">
                  <c:v>19680</c:v>
                </c:pt>
                <c:pt idx="5">
                  <c:v>19684</c:v>
                </c:pt>
                <c:pt idx="6">
                  <c:v>19684</c:v>
                </c:pt>
                <c:pt idx="7">
                  <c:v>19791</c:v>
                </c:pt>
                <c:pt idx="8">
                  <c:v>19927</c:v>
                </c:pt>
                <c:pt idx="9">
                  <c:v>20137</c:v>
                </c:pt>
                <c:pt idx="10">
                  <c:v>20251</c:v>
                </c:pt>
                <c:pt idx="11">
                  <c:v>20396</c:v>
                </c:pt>
                <c:pt idx="12">
                  <c:v>20415</c:v>
                </c:pt>
                <c:pt idx="13">
                  <c:v>20438</c:v>
                </c:pt>
                <c:pt idx="14">
                  <c:v>20761</c:v>
                </c:pt>
                <c:pt idx="15">
                  <c:v>20924.5</c:v>
                </c:pt>
                <c:pt idx="16">
                  <c:v>20934.5</c:v>
                </c:pt>
                <c:pt idx="17">
                  <c:v>20949</c:v>
                </c:pt>
                <c:pt idx="18">
                  <c:v>20986</c:v>
                </c:pt>
                <c:pt idx="19">
                  <c:v>21009</c:v>
                </c:pt>
                <c:pt idx="20">
                  <c:v>21283</c:v>
                </c:pt>
                <c:pt idx="21">
                  <c:v>21564</c:v>
                </c:pt>
                <c:pt idx="22">
                  <c:v>21910</c:v>
                </c:pt>
                <c:pt idx="23">
                  <c:v>22144.5</c:v>
                </c:pt>
                <c:pt idx="24">
                  <c:v>22166</c:v>
                </c:pt>
                <c:pt idx="25">
                  <c:v>22169</c:v>
                </c:pt>
                <c:pt idx="26">
                  <c:v>23010</c:v>
                </c:pt>
                <c:pt idx="27">
                  <c:v>23086</c:v>
                </c:pt>
                <c:pt idx="28">
                  <c:v>23342</c:v>
                </c:pt>
                <c:pt idx="29">
                  <c:v>23352</c:v>
                </c:pt>
                <c:pt idx="30">
                  <c:v>23684</c:v>
                </c:pt>
                <c:pt idx="31">
                  <c:v>23962</c:v>
                </c:pt>
                <c:pt idx="32">
                  <c:v>23962</c:v>
                </c:pt>
                <c:pt idx="33">
                  <c:v>26348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BD-4EB4-B9D9-063E0C14F3F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Active!$D$22:$D$46</c:f>
                <c:numCache>
                  <c:formatCode>General</c:formatCode>
                  <c:ptCount val="25"/>
                  <c:pt idx="0">
                    <c:v>2.0000000000000001E-4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6.9999999999999999E-4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2.3999999999999998E-3</c:v>
                  </c:pt>
                  <c:pt idx="11">
                    <c:v>4.0000000000000001E-3</c:v>
                  </c:pt>
                  <c:pt idx="12">
                    <c:v>0</c:v>
                  </c:pt>
                  <c:pt idx="13">
                    <c:v>1.5E-3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3.0000000000000001E-3</c:v>
                  </c:pt>
                  <c:pt idx="19">
                    <c:v>5.0000000000000001E-3</c:v>
                  </c:pt>
                  <c:pt idx="20">
                    <c:v>6.0000000000000001E-3</c:v>
                  </c:pt>
                  <c:pt idx="21">
                    <c:v>1E-3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0.5</c:v>
                </c:pt>
                <c:pt idx="1">
                  <c:v>19566</c:v>
                </c:pt>
                <c:pt idx="2">
                  <c:v>19566</c:v>
                </c:pt>
                <c:pt idx="3">
                  <c:v>19601</c:v>
                </c:pt>
                <c:pt idx="4">
                  <c:v>19680</c:v>
                </c:pt>
                <c:pt idx="5">
                  <c:v>19684</c:v>
                </c:pt>
                <c:pt idx="6">
                  <c:v>19684</c:v>
                </c:pt>
                <c:pt idx="7">
                  <c:v>19791</c:v>
                </c:pt>
                <c:pt idx="8">
                  <c:v>19927</c:v>
                </c:pt>
                <c:pt idx="9">
                  <c:v>20137</c:v>
                </c:pt>
                <c:pt idx="10">
                  <c:v>20251</c:v>
                </c:pt>
                <c:pt idx="11">
                  <c:v>20396</c:v>
                </c:pt>
                <c:pt idx="12">
                  <c:v>20415</c:v>
                </c:pt>
                <c:pt idx="13">
                  <c:v>20438</c:v>
                </c:pt>
                <c:pt idx="14">
                  <c:v>20761</c:v>
                </c:pt>
                <c:pt idx="15">
                  <c:v>20924.5</c:v>
                </c:pt>
                <c:pt idx="16">
                  <c:v>20934.5</c:v>
                </c:pt>
                <c:pt idx="17">
                  <c:v>20949</c:v>
                </c:pt>
                <c:pt idx="18">
                  <c:v>20986</c:v>
                </c:pt>
                <c:pt idx="19">
                  <c:v>21009</c:v>
                </c:pt>
                <c:pt idx="20">
                  <c:v>21283</c:v>
                </c:pt>
                <c:pt idx="21">
                  <c:v>21564</c:v>
                </c:pt>
                <c:pt idx="22">
                  <c:v>21910</c:v>
                </c:pt>
                <c:pt idx="23">
                  <c:v>22144.5</c:v>
                </c:pt>
                <c:pt idx="24">
                  <c:v>22166</c:v>
                </c:pt>
                <c:pt idx="25">
                  <c:v>22169</c:v>
                </c:pt>
                <c:pt idx="26">
                  <c:v>23010</c:v>
                </c:pt>
                <c:pt idx="27">
                  <c:v>23086</c:v>
                </c:pt>
                <c:pt idx="28">
                  <c:v>23342</c:v>
                </c:pt>
                <c:pt idx="29">
                  <c:v>23352</c:v>
                </c:pt>
                <c:pt idx="30">
                  <c:v>23684</c:v>
                </c:pt>
                <c:pt idx="31">
                  <c:v>23962</c:v>
                </c:pt>
                <c:pt idx="32">
                  <c:v>23962</c:v>
                </c:pt>
                <c:pt idx="33">
                  <c:v>26348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  <c:pt idx="6">
                  <c:v>-0.19449999999778811</c:v>
                </c:pt>
                <c:pt idx="7">
                  <c:v>-0.20049999999901047</c:v>
                </c:pt>
                <c:pt idx="8">
                  <c:v>-0.20749999999679858</c:v>
                </c:pt>
                <c:pt idx="9">
                  <c:v>-0.24049999999260763</c:v>
                </c:pt>
                <c:pt idx="19">
                  <c:v>-0.41449999999895226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BD-4EB4-B9D9-063E0C14F3F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Active!$D$21:$D$46</c:f>
                <c:numCache>
                  <c:formatCode>General</c:formatCode>
                  <c:ptCount val="26"/>
                  <c:pt idx="0">
                    <c:v>0</c:v>
                  </c:pt>
                  <c:pt idx="1">
                    <c:v>2.0000000000000001E-4</c:v>
                  </c:pt>
                  <c:pt idx="3">
                    <c:v>1E-3</c:v>
                  </c:pt>
                  <c:pt idx="4">
                    <c:v>8.0000000000000004E-4</c:v>
                  </c:pt>
                  <c:pt idx="5">
                    <c:v>6.9999999999999999E-4</c:v>
                  </c:pt>
                  <c:pt idx="6">
                    <c:v>7.0000000000000001E-3</c:v>
                  </c:pt>
                  <c:pt idx="7">
                    <c:v>5.0000000000000001E-3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2.3999999999999998E-3</c:v>
                  </c:pt>
                  <c:pt idx="12">
                    <c:v>4.0000000000000001E-3</c:v>
                  </c:pt>
                  <c:pt idx="13">
                    <c:v>0</c:v>
                  </c:pt>
                  <c:pt idx="14">
                    <c:v>1.5E-3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5.0000000000000001E-3</c:v>
                  </c:pt>
                  <c:pt idx="21">
                    <c:v>6.0000000000000001E-3</c:v>
                  </c:pt>
                  <c:pt idx="22">
                    <c:v>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numCache>
              </c:numRef>
            </c:plus>
            <c:minus>
              <c:numRef>
                <c:f>Active!$D$21:$D$46</c:f>
                <c:numCache>
                  <c:formatCode>General</c:formatCode>
                  <c:ptCount val="26"/>
                  <c:pt idx="0">
                    <c:v>0</c:v>
                  </c:pt>
                  <c:pt idx="1">
                    <c:v>2.0000000000000001E-4</c:v>
                  </c:pt>
                  <c:pt idx="3">
                    <c:v>1E-3</c:v>
                  </c:pt>
                  <c:pt idx="4">
                    <c:v>8.0000000000000004E-4</c:v>
                  </c:pt>
                  <c:pt idx="5">
                    <c:v>6.9999999999999999E-4</c:v>
                  </c:pt>
                  <c:pt idx="6">
                    <c:v>7.0000000000000001E-3</c:v>
                  </c:pt>
                  <c:pt idx="7">
                    <c:v>5.0000000000000001E-3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2.3999999999999998E-3</c:v>
                  </c:pt>
                  <c:pt idx="12">
                    <c:v>4.0000000000000001E-3</c:v>
                  </c:pt>
                  <c:pt idx="13">
                    <c:v>0</c:v>
                  </c:pt>
                  <c:pt idx="14">
                    <c:v>1.5E-3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5.0000000000000001E-3</c:v>
                  </c:pt>
                  <c:pt idx="21">
                    <c:v>6.0000000000000001E-3</c:v>
                  </c:pt>
                  <c:pt idx="22">
                    <c:v>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0.5</c:v>
                </c:pt>
                <c:pt idx="1">
                  <c:v>19566</c:v>
                </c:pt>
                <c:pt idx="2">
                  <c:v>19566</c:v>
                </c:pt>
                <c:pt idx="3">
                  <c:v>19601</c:v>
                </c:pt>
                <c:pt idx="4">
                  <c:v>19680</c:v>
                </c:pt>
                <c:pt idx="5">
                  <c:v>19684</c:v>
                </c:pt>
                <c:pt idx="6">
                  <c:v>19684</c:v>
                </c:pt>
                <c:pt idx="7">
                  <c:v>19791</c:v>
                </c:pt>
                <c:pt idx="8">
                  <c:v>19927</c:v>
                </c:pt>
                <c:pt idx="9">
                  <c:v>20137</c:v>
                </c:pt>
                <c:pt idx="10">
                  <c:v>20251</c:v>
                </c:pt>
                <c:pt idx="11">
                  <c:v>20396</c:v>
                </c:pt>
                <c:pt idx="12">
                  <c:v>20415</c:v>
                </c:pt>
                <c:pt idx="13">
                  <c:v>20438</c:v>
                </c:pt>
                <c:pt idx="14">
                  <c:v>20761</c:v>
                </c:pt>
                <c:pt idx="15">
                  <c:v>20924.5</c:v>
                </c:pt>
                <c:pt idx="16">
                  <c:v>20934.5</c:v>
                </c:pt>
                <c:pt idx="17">
                  <c:v>20949</c:v>
                </c:pt>
                <c:pt idx="18">
                  <c:v>20986</c:v>
                </c:pt>
                <c:pt idx="19">
                  <c:v>21009</c:v>
                </c:pt>
                <c:pt idx="20">
                  <c:v>21283</c:v>
                </c:pt>
                <c:pt idx="21">
                  <c:v>21564</c:v>
                </c:pt>
                <c:pt idx="22">
                  <c:v>21910</c:v>
                </c:pt>
                <c:pt idx="23">
                  <c:v>22144.5</c:v>
                </c:pt>
                <c:pt idx="24">
                  <c:v>22166</c:v>
                </c:pt>
                <c:pt idx="25">
                  <c:v>22169</c:v>
                </c:pt>
                <c:pt idx="26">
                  <c:v>23010</c:v>
                </c:pt>
                <c:pt idx="27">
                  <c:v>23086</c:v>
                </c:pt>
                <c:pt idx="28">
                  <c:v>23342</c:v>
                </c:pt>
                <c:pt idx="29">
                  <c:v>23352</c:v>
                </c:pt>
                <c:pt idx="30">
                  <c:v>23684</c:v>
                </c:pt>
                <c:pt idx="31">
                  <c:v>23962</c:v>
                </c:pt>
                <c:pt idx="32">
                  <c:v>23962</c:v>
                </c:pt>
                <c:pt idx="33">
                  <c:v>26348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  <c:pt idx="1">
                  <c:v>-0.18920000000071013</c:v>
                </c:pt>
                <c:pt idx="2">
                  <c:v>-0.18920000000071013</c:v>
                </c:pt>
                <c:pt idx="3">
                  <c:v>-0.18839999999909196</c:v>
                </c:pt>
                <c:pt idx="4">
                  <c:v>-0.2011999999958789</c:v>
                </c:pt>
                <c:pt idx="5">
                  <c:v>-0.20549999999639113</c:v>
                </c:pt>
                <c:pt idx="22">
                  <c:v>-0.57879999999568099</c:v>
                </c:pt>
                <c:pt idx="29">
                  <c:v>-0.81289999998989515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3BD-4EB4-B9D9-063E0C14F3F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0.5</c:v>
                </c:pt>
                <c:pt idx="1">
                  <c:v>19566</c:v>
                </c:pt>
                <c:pt idx="2">
                  <c:v>19566</c:v>
                </c:pt>
                <c:pt idx="3">
                  <c:v>19601</c:v>
                </c:pt>
                <c:pt idx="4">
                  <c:v>19680</c:v>
                </c:pt>
                <c:pt idx="5">
                  <c:v>19684</c:v>
                </c:pt>
                <c:pt idx="6">
                  <c:v>19684</c:v>
                </c:pt>
                <c:pt idx="7">
                  <c:v>19791</c:v>
                </c:pt>
                <c:pt idx="8">
                  <c:v>19927</c:v>
                </c:pt>
                <c:pt idx="9">
                  <c:v>20137</c:v>
                </c:pt>
                <c:pt idx="10">
                  <c:v>20251</c:v>
                </c:pt>
                <c:pt idx="11">
                  <c:v>20396</c:v>
                </c:pt>
                <c:pt idx="12">
                  <c:v>20415</c:v>
                </c:pt>
                <c:pt idx="13">
                  <c:v>20438</c:v>
                </c:pt>
                <c:pt idx="14">
                  <c:v>20761</c:v>
                </c:pt>
                <c:pt idx="15">
                  <c:v>20924.5</c:v>
                </c:pt>
                <c:pt idx="16">
                  <c:v>20934.5</c:v>
                </c:pt>
                <c:pt idx="17">
                  <c:v>20949</c:v>
                </c:pt>
                <c:pt idx="18">
                  <c:v>20986</c:v>
                </c:pt>
                <c:pt idx="19">
                  <c:v>21009</c:v>
                </c:pt>
                <c:pt idx="20">
                  <c:v>21283</c:v>
                </c:pt>
                <c:pt idx="21">
                  <c:v>21564</c:v>
                </c:pt>
                <c:pt idx="22">
                  <c:v>21910</c:v>
                </c:pt>
                <c:pt idx="23">
                  <c:v>22144.5</c:v>
                </c:pt>
                <c:pt idx="24">
                  <c:v>22166</c:v>
                </c:pt>
                <c:pt idx="25">
                  <c:v>22169</c:v>
                </c:pt>
                <c:pt idx="26">
                  <c:v>23010</c:v>
                </c:pt>
                <c:pt idx="27">
                  <c:v>23086</c:v>
                </c:pt>
                <c:pt idx="28">
                  <c:v>23342</c:v>
                </c:pt>
                <c:pt idx="29">
                  <c:v>23352</c:v>
                </c:pt>
                <c:pt idx="30">
                  <c:v>23684</c:v>
                </c:pt>
                <c:pt idx="31">
                  <c:v>23962</c:v>
                </c:pt>
                <c:pt idx="32">
                  <c:v>23962</c:v>
                </c:pt>
                <c:pt idx="33">
                  <c:v>26348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  <c:pt idx="10">
                  <c:v>-0.30169999999634456</c:v>
                </c:pt>
                <c:pt idx="11">
                  <c:v>-0.32153999998990912</c:v>
                </c:pt>
                <c:pt idx="12">
                  <c:v>-0.32660999999643536</c:v>
                </c:pt>
                <c:pt idx="13">
                  <c:v>-0.32749999999214197</c:v>
                </c:pt>
                <c:pt idx="14">
                  <c:v>-0.385229999992589</c:v>
                </c:pt>
                <c:pt idx="16">
                  <c:v>-0.46100000000296859</c:v>
                </c:pt>
                <c:pt idx="18">
                  <c:v>-0.4228000000002794</c:v>
                </c:pt>
                <c:pt idx="20">
                  <c:v>-0.46749999999883585</c:v>
                </c:pt>
                <c:pt idx="21">
                  <c:v>-0.51750000000174623</c:v>
                </c:pt>
                <c:pt idx="23">
                  <c:v>-0.62355999999999767</c:v>
                </c:pt>
                <c:pt idx="25">
                  <c:v>-0.56964999999036081</c:v>
                </c:pt>
                <c:pt idx="26">
                  <c:v>-0.75359999999636784</c:v>
                </c:pt>
                <c:pt idx="27">
                  <c:v>-0.76499999999214197</c:v>
                </c:pt>
                <c:pt idx="28">
                  <c:v>-0.81169999999838183</c:v>
                </c:pt>
                <c:pt idx="30">
                  <c:v>-0.86469999999826541</c:v>
                </c:pt>
                <c:pt idx="31">
                  <c:v>-0.91249999999854481</c:v>
                </c:pt>
                <c:pt idx="32">
                  <c:v>-0.91150000000197906</c:v>
                </c:pt>
                <c:pt idx="33">
                  <c:v>-0.65669999999954598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3BD-4EB4-B9D9-063E0C14F3F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0.5</c:v>
                </c:pt>
                <c:pt idx="1">
                  <c:v>19566</c:v>
                </c:pt>
                <c:pt idx="2">
                  <c:v>19566</c:v>
                </c:pt>
                <c:pt idx="3">
                  <c:v>19601</c:v>
                </c:pt>
                <c:pt idx="4">
                  <c:v>19680</c:v>
                </c:pt>
                <c:pt idx="5">
                  <c:v>19684</c:v>
                </c:pt>
                <c:pt idx="6">
                  <c:v>19684</c:v>
                </c:pt>
                <c:pt idx="7">
                  <c:v>19791</c:v>
                </c:pt>
                <c:pt idx="8">
                  <c:v>19927</c:v>
                </c:pt>
                <c:pt idx="9">
                  <c:v>20137</c:v>
                </c:pt>
                <c:pt idx="10">
                  <c:v>20251</c:v>
                </c:pt>
                <c:pt idx="11">
                  <c:v>20396</c:v>
                </c:pt>
                <c:pt idx="12">
                  <c:v>20415</c:v>
                </c:pt>
                <c:pt idx="13">
                  <c:v>20438</c:v>
                </c:pt>
                <c:pt idx="14">
                  <c:v>20761</c:v>
                </c:pt>
                <c:pt idx="15">
                  <c:v>20924.5</c:v>
                </c:pt>
                <c:pt idx="16">
                  <c:v>20934.5</c:v>
                </c:pt>
                <c:pt idx="17">
                  <c:v>20949</c:v>
                </c:pt>
                <c:pt idx="18">
                  <c:v>20986</c:v>
                </c:pt>
                <c:pt idx="19">
                  <c:v>21009</c:v>
                </c:pt>
                <c:pt idx="20">
                  <c:v>21283</c:v>
                </c:pt>
                <c:pt idx="21">
                  <c:v>21564</c:v>
                </c:pt>
                <c:pt idx="22">
                  <c:v>21910</c:v>
                </c:pt>
                <c:pt idx="23">
                  <c:v>22144.5</c:v>
                </c:pt>
                <c:pt idx="24">
                  <c:v>22166</c:v>
                </c:pt>
                <c:pt idx="25">
                  <c:v>22169</c:v>
                </c:pt>
                <c:pt idx="26">
                  <c:v>23010</c:v>
                </c:pt>
                <c:pt idx="27">
                  <c:v>23086</c:v>
                </c:pt>
                <c:pt idx="28">
                  <c:v>23342</c:v>
                </c:pt>
                <c:pt idx="29">
                  <c:v>23352</c:v>
                </c:pt>
                <c:pt idx="30">
                  <c:v>23684</c:v>
                </c:pt>
                <c:pt idx="31">
                  <c:v>23962</c:v>
                </c:pt>
                <c:pt idx="32">
                  <c:v>23962</c:v>
                </c:pt>
                <c:pt idx="33">
                  <c:v>26348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3BD-4EB4-B9D9-063E0C14F3F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0.5</c:v>
                </c:pt>
                <c:pt idx="1">
                  <c:v>19566</c:v>
                </c:pt>
                <c:pt idx="2">
                  <c:v>19566</c:v>
                </c:pt>
                <c:pt idx="3">
                  <c:v>19601</c:v>
                </c:pt>
                <c:pt idx="4">
                  <c:v>19680</c:v>
                </c:pt>
                <c:pt idx="5">
                  <c:v>19684</c:v>
                </c:pt>
                <c:pt idx="6">
                  <c:v>19684</c:v>
                </c:pt>
                <c:pt idx="7">
                  <c:v>19791</c:v>
                </c:pt>
                <c:pt idx="8">
                  <c:v>19927</c:v>
                </c:pt>
                <c:pt idx="9">
                  <c:v>20137</c:v>
                </c:pt>
                <c:pt idx="10">
                  <c:v>20251</c:v>
                </c:pt>
                <c:pt idx="11">
                  <c:v>20396</c:v>
                </c:pt>
                <c:pt idx="12">
                  <c:v>20415</c:v>
                </c:pt>
                <c:pt idx="13">
                  <c:v>20438</c:v>
                </c:pt>
                <c:pt idx="14">
                  <c:v>20761</c:v>
                </c:pt>
                <c:pt idx="15">
                  <c:v>20924.5</c:v>
                </c:pt>
                <c:pt idx="16">
                  <c:v>20934.5</c:v>
                </c:pt>
                <c:pt idx="17">
                  <c:v>20949</c:v>
                </c:pt>
                <c:pt idx="18">
                  <c:v>20986</c:v>
                </c:pt>
                <c:pt idx="19">
                  <c:v>21009</c:v>
                </c:pt>
                <c:pt idx="20">
                  <c:v>21283</c:v>
                </c:pt>
                <c:pt idx="21">
                  <c:v>21564</c:v>
                </c:pt>
                <c:pt idx="22">
                  <c:v>21910</c:v>
                </c:pt>
                <c:pt idx="23">
                  <c:v>22144.5</c:v>
                </c:pt>
                <c:pt idx="24">
                  <c:v>22166</c:v>
                </c:pt>
                <c:pt idx="25">
                  <c:v>22169</c:v>
                </c:pt>
                <c:pt idx="26">
                  <c:v>23010</c:v>
                </c:pt>
                <c:pt idx="27">
                  <c:v>23086</c:v>
                </c:pt>
                <c:pt idx="28">
                  <c:v>23342</c:v>
                </c:pt>
                <c:pt idx="29">
                  <c:v>23352</c:v>
                </c:pt>
                <c:pt idx="30">
                  <c:v>23684</c:v>
                </c:pt>
                <c:pt idx="31">
                  <c:v>23962</c:v>
                </c:pt>
                <c:pt idx="32">
                  <c:v>23962</c:v>
                </c:pt>
                <c:pt idx="33">
                  <c:v>26348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3BD-4EB4-B9D9-063E0C14F3F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0.5</c:v>
                </c:pt>
                <c:pt idx="1">
                  <c:v>19566</c:v>
                </c:pt>
                <c:pt idx="2">
                  <c:v>19566</c:v>
                </c:pt>
                <c:pt idx="3">
                  <c:v>19601</c:v>
                </c:pt>
                <c:pt idx="4">
                  <c:v>19680</c:v>
                </c:pt>
                <c:pt idx="5">
                  <c:v>19684</c:v>
                </c:pt>
                <c:pt idx="6">
                  <c:v>19684</c:v>
                </c:pt>
                <c:pt idx="7">
                  <c:v>19791</c:v>
                </c:pt>
                <c:pt idx="8">
                  <c:v>19927</c:v>
                </c:pt>
                <c:pt idx="9">
                  <c:v>20137</c:v>
                </c:pt>
                <c:pt idx="10">
                  <c:v>20251</c:v>
                </c:pt>
                <c:pt idx="11">
                  <c:v>20396</c:v>
                </c:pt>
                <c:pt idx="12">
                  <c:v>20415</c:v>
                </c:pt>
                <c:pt idx="13">
                  <c:v>20438</c:v>
                </c:pt>
                <c:pt idx="14">
                  <c:v>20761</c:v>
                </c:pt>
                <c:pt idx="15">
                  <c:v>20924.5</c:v>
                </c:pt>
                <c:pt idx="16">
                  <c:v>20934.5</c:v>
                </c:pt>
                <c:pt idx="17">
                  <c:v>20949</c:v>
                </c:pt>
                <c:pt idx="18">
                  <c:v>20986</c:v>
                </c:pt>
                <c:pt idx="19">
                  <c:v>21009</c:v>
                </c:pt>
                <c:pt idx="20">
                  <c:v>21283</c:v>
                </c:pt>
                <c:pt idx="21">
                  <c:v>21564</c:v>
                </c:pt>
                <c:pt idx="22">
                  <c:v>21910</c:v>
                </c:pt>
                <c:pt idx="23">
                  <c:v>22144.5</c:v>
                </c:pt>
                <c:pt idx="24">
                  <c:v>22166</c:v>
                </c:pt>
                <c:pt idx="25">
                  <c:v>22169</c:v>
                </c:pt>
                <c:pt idx="26">
                  <c:v>23010</c:v>
                </c:pt>
                <c:pt idx="27">
                  <c:v>23086</c:v>
                </c:pt>
                <c:pt idx="28">
                  <c:v>23342</c:v>
                </c:pt>
                <c:pt idx="29">
                  <c:v>23352</c:v>
                </c:pt>
                <c:pt idx="30">
                  <c:v>23684</c:v>
                </c:pt>
                <c:pt idx="31">
                  <c:v>23962</c:v>
                </c:pt>
                <c:pt idx="32">
                  <c:v>23962</c:v>
                </c:pt>
                <c:pt idx="33">
                  <c:v>26348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3BD-4EB4-B9D9-063E0C14F3F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0.5</c:v>
                </c:pt>
                <c:pt idx="1">
                  <c:v>19566</c:v>
                </c:pt>
                <c:pt idx="2">
                  <c:v>19566</c:v>
                </c:pt>
                <c:pt idx="3">
                  <c:v>19601</c:v>
                </c:pt>
                <c:pt idx="4">
                  <c:v>19680</c:v>
                </c:pt>
                <c:pt idx="5">
                  <c:v>19684</c:v>
                </c:pt>
                <c:pt idx="6">
                  <c:v>19684</c:v>
                </c:pt>
                <c:pt idx="7">
                  <c:v>19791</c:v>
                </c:pt>
                <c:pt idx="8">
                  <c:v>19927</c:v>
                </c:pt>
                <c:pt idx="9">
                  <c:v>20137</c:v>
                </c:pt>
                <c:pt idx="10">
                  <c:v>20251</c:v>
                </c:pt>
                <c:pt idx="11">
                  <c:v>20396</c:v>
                </c:pt>
                <c:pt idx="12">
                  <c:v>20415</c:v>
                </c:pt>
                <c:pt idx="13">
                  <c:v>20438</c:v>
                </c:pt>
                <c:pt idx="14">
                  <c:v>20761</c:v>
                </c:pt>
                <c:pt idx="15">
                  <c:v>20924.5</c:v>
                </c:pt>
                <c:pt idx="16">
                  <c:v>20934.5</c:v>
                </c:pt>
                <c:pt idx="17">
                  <c:v>20949</c:v>
                </c:pt>
                <c:pt idx="18">
                  <c:v>20986</c:v>
                </c:pt>
                <c:pt idx="19">
                  <c:v>21009</c:v>
                </c:pt>
                <c:pt idx="20">
                  <c:v>21283</c:v>
                </c:pt>
                <c:pt idx="21">
                  <c:v>21564</c:v>
                </c:pt>
                <c:pt idx="22">
                  <c:v>21910</c:v>
                </c:pt>
                <c:pt idx="23">
                  <c:v>22144.5</c:v>
                </c:pt>
                <c:pt idx="24">
                  <c:v>22166</c:v>
                </c:pt>
                <c:pt idx="25">
                  <c:v>22169</c:v>
                </c:pt>
                <c:pt idx="26">
                  <c:v>23010</c:v>
                </c:pt>
                <c:pt idx="27">
                  <c:v>23086</c:v>
                </c:pt>
                <c:pt idx="28">
                  <c:v>23342</c:v>
                </c:pt>
                <c:pt idx="29">
                  <c:v>23352</c:v>
                </c:pt>
                <c:pt idx="30">
                  <c:v>23684</c:v>
                </c:pt>
                <c:pt idx="31">
                  <c:v>23962</c:v>
                </c:pt>
                <c:pt idx="32">
                  <c:v>23962</c:v>
                </c:pt>
                <c:pt idx="33">
                  <c:v>26348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0">
                  <c:v>2.3171346062964862</c:v>
                </c:pt>
                <c:pt idx="1">
                  <c:v>-0.22623998215602903</c:v>
                </c:pt>
                <c:pt idx="2">
                  <c:v>-0.22623998215602903</c:v>
                </c:pt>
                <c:pt idx="3">
                  <c:v>-0.23078973097900013</c:v>
                </c:pt>
                <c:pt idx="4">
                  <c:v>-0.24105916403656291</c:v>
                </c:pt>
                <c:pt idx="5">
                  <c:v>-0.2415791353306167</c:v>
                </c:pt>
                <c:pt idx="6">
                  <c:v>-0.2415791353306167</c:v>
                </c:pt>
                <c:pt idx="7">
                  <c:v>-0.25548836744655645</c:v>
                </c:pt>
                <c:pt idx="8">
                  <c:v>-0.27316739144438662</c:v>
                </c:pt>
                <c:pt idx="9">
                  <c:v>-0.30046588438221233</c:v>
                </c:pt>
                <c:pt idx="10">
                  <c:v>-0.31528506626274622</c:v>
                </c:pt>
                <c:pt idx="11">
                  <c:v>-0.33413402567219741</c:v>
                </c:pt>
                <c:pt idx="12">
                  <c:v>-0.33660388931895291</c:v>
                </c:pt>
                <c:pt idx="13">
                  <c:v>-0.3395937242597622</c:v>
                </c:pt>
                <c:pt idx="14">
                  <c:v>-0.38158140625460835</c:v>
                </c:pt>
                <c:pt idx="15">
                  <c:v>-0.40283523289905876</c:v>
                </c:pt>
                <c:pt idx="16">
                  <c:v>-0.40413516113419323</c:v>
                </c:pt>
                <c:pt idx="17">
                  <c:v>-0.40602005707513822</c:v>
                </c:pt>
                <c:pt idx="18">
                  <c:v>-0.41082979154513621</c:v>
                </c:pt>
                <c:pt idx="19">
                  <c:v>-0.4138196264859455</c:v>
                </c:pt>
                <c:pt idx="20">
                  <c:v>-0.44943766012863229</c:v>
                </c:pt>
                <c:pt idx="21">
                  <c:v>-0.48596564353591321</c:v>
                </c:pt>
                <c:pt idx="22">
                  <c:v>-0.53094316047156909</c:v>
                </c:pt>
                <c:pt idx="23">
                  <c:v>-0.56142647758547426</c:v>
                </c:pt>
                <c:pt idx="24">
                  <c:v>-0.56422132329101382</c:v>
                </c:pt>
                <c:pt idx="25">
                  <c:v>-0.56461130176155416</c:v>
                </c:pt>
                <c:pt idx="26">
                  <c:v>-0.67393526633637002</c:v>
                </c:pt>
                <c:pt idx="27">
                  <c:v>-0.6838147209233929</c:v>
                </c:pt>
                <c:pt idx="28">
                  <c:v>-0.71709288374283764</c:v>
                </c:pt>
                <c:pt idx="29">
                  <c:v>-0.71839281197797211</c:v>
                </c:pt>
                <c:pt idx="30">
                  <c:v>-0.76155042938443929</c:v>
                </c:pt>
                <c:pt idx="31">
                  <c:v>-0.79768843432117986</c:v>
                </c:pt>
                <c:pt idx="32">
                  <c:v>-0.79768843432117986</c:v>
                </c:pt>
                <c:pt idx="33">
                  <c:v>-1.1078513112242847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3BD-4EB4-B9D9-063E0C14F3F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2.0000000000000001E-4</c:v>
                  </c:pt>
                  <c:pt idx="3">
                    <c:v>1E-3</c:v>
                  </c:pt>
                  <c:pt idx="4">
                    <c:v>8.0000000000000004E-4</c:v>
                  </c:pt>
                  <c:pt idx="5">
                    <c:v>6.9999999999999999E-4</c:v>
                  </c:pt>
                  <c:pt idx="6">
                    <c:v>7.0000000000000001E-3</c:v>
                  </c:pt>
                  <c:pt idx="7">
                    <c:v>5.0000000000000001E-3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2.3999999999999998E-3</c:v>
                  </c:pt>
                  <c:pt idx="12">
                    <c:v>4.0000000000000001E-3</c:v>
                  </c:pt>
                  <c:pt idx="13">
                    <c:v>0</c:v>
                  </c:pt>
                  <c:pt idx="14">
                    <c:v>1.5E-3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5.0000000000000001E-3</c:v>
                  </c:pt>
                  <c:pt idx="21">
                    <c:v>6.0000000000000001E-3</c:v>
                  </c:pt>
                  <c:pt idx="22">
                    <c:v>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4.3E-3</c:v>
                  </c:pt>
                  <c:pt idx="30">
                    <c:v>5.0000000000000001E-4</c:v>
                  </c:pt>
                  <c:pt idx="31">
                    <c:v>0</c:v>
                  </c:pt>
                  <c:pt idx="32">
                    <c:v>3.0000000000000003E-4</c:v>
                  </c:pt>
                  <c:pt idx="33">
                    <c:v>2.9999999999999997E-4</c:v>
                  </c:pt>
                </c:numCache>
              </c:numRef>
            </c:plus>
            <c:min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2.0000000000000001E-4</c:v>
                  </c:pt>
                  <c:pt idx="3">
                    <c:v>1E-3</c:v>
                  </c:pt>
                  <c:pt idx="4">
                    <c:v>8.0000000000000004E-4</c:v>
                  </c:pt>
                  <c:pt idx="5">
                    <c:v>6.9999999999999999E-4</c:v>
                  </c:pt>
                  <c:pt idx="6">
                    <c:v>7.0000000000000001E-3</c:v>
                  </c:pt>
                  <c:pt idx="7">
                    <c:v>5.0000000000000001E-3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2.3999999999999998E-3</c:v>
                  </c:pt>
                  <c:pt idx="12">
                    <c:v>4.0000000000000001E-3</c:v>
                  </c:pt>
                  <c:pt idx="13">
                    <c:v>0</c:v>
                  </c:pt>
                  <c:pt idx="14">
                    <c:v>1.5E-3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5.0000000000000001E-3</c:v>
                  </c:pt>
                  <c:pt idx="21">
                    <c:v>6.0000000000000001E-3</c:v>
                  </c:pt>
                  <c:pt idx="22">
                    <c:v>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2.9999999999999997E-4</c:v>
                  </c:pt>
                  <c:pt idx="29">
                    <c:v>4.3E-3</c:v>
                  </c:pt>
                  <c:pt idx="30">
                    <c:v>5.0000000000000001E-4</c:v>
                  </c:pt>
                  <c:pt idx="31">
                    <c:v>0</c:v>
                  </c:pt>
                  <c:pt idx="32">
                    <c:v>3.0000000000000003E-4</c:v>
                  </c:pt>
                  <c:pt idx="3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0.5</c:v>
                </c:pt>
                <c:pt idx="1">
                  <c:v>19566</c:v>
                </c:pt>
                <c:pt idx="2">
                  <c:v>19566</c:v>
                </c:pt>
                <c:pt idx="3">
                  <c:v>19601</c:v>
                </c:pt>
                <c:pt idx="4">
                  <c:v>19680</c:v>
                </c:pt>
                <c:pt idx="5">
                  <c:v>19684</c:v>
                </c:pt>
                <c:pt idx="6">
                  <c:v>19684</c:v>
                </c:pt>
                <c:pt idx="7">
                  <c:v>19791</c:v>
                </c:pt>
                <c:pt idx="8">
                  <c:v>19927</c:v>
                </c:pt>
                <c:pt idx="9">
                  <c:v>20137</c:v>
                </c:pt>
                <c:pt idx="10">
                  <c:v>20251</c:v>
                </c:pt>
                <c:pt idx="11">
                  <c:v>20396</c:v>
                </c:pt>
                <c:pt idx="12">
                  <c:v>20415</c:v>
                </c:pt>
                <c:pt idx="13">
                  <c:v>20438</c:v>
                </c:pt>
                <c:pt idx="14">
                  <c:v>20761</c:v>
                </c:pt>
                <c:pt idx="15">
                  <c:v>20924.5</c:v>
                </c:pt>
                <c:pt idx="16">
                  <c:v>20934.5</c:v>
                </c:pt>
                <c:pt idx="17">
                  <c:v>20949</c:v>
                </c:pt>
                <c:pt idx="18">
                  <c:v>20986</c:v>
                </c:pt>
                <c:pt idx="19">
                  <c:v>21009</c:v>
                </c:pt>
                <c:pt idx="20">
                  <c:v>21283</c:v>
                </c:pt>
                <c:pt idx="21">
                  <c:v>21564</c:v>
                </c:pt>
                <c:pt idx="22">
                  <c:v>21910</c:v>
                </c:pt>
                <c:pt idx="23">
                  <c:v>22144.5</c:v>
                </c:pt>
                <c:pt idx="24">
                  <c:v>22166</c:v>
                </c:pt>
                <c:pt idx="25">
                  <c:v>22169</c:v>
                </c:pt>
                <c:pt idx="26">
                  <c:v>23010</c:v>
                </c:pt>
                <c:pt idx="27">
                  <c:v>23086</c:v>
                </c:pt>
                <c:pt idx="28">
                  <c:v>23342</c:v>
                </c:pt>
                <c:pt idx="29">
                  <c:v>23352</c:v>
                </c:pt>
                <c:pt idx="30">
                  <c:v>23684</c:v>
                </c:pt>
                <c:pt idx="31">
                  <c:v>23962</c:v>
                </c:pt>
                <c:pt idx="32">
                  <c:v>23962</c:v>
                </c:pt>
                <c:pt idx="33">
                  <c:v>26348</c:v>
                </c:pt>
              </c:numCache>
            </c:numRef>
          </c:xVal>
          <c:yVal>
            <c:numRef>
              <c:f>Active!$U$21:$U$995</c:f>
              <c:numCache>
                <c:formatCode>General</c:formatCode>
                <c:ptCount val="975"/>
                <c:pt idx="15">
                  <c:v>-0.91199999999662396</c:v>
                </c:pt>
                <c:pt idx="17">
                  <c:v>-0.80550999999832129</c:v>
                </c:pt>
                <c:pt idx="24">
                  <c:v>-0.85921000000234926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3BD-4EB4-B9D9-063E0C14F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1563504"/>
        <c:axId val="1"/>
      </c:scatterChart>
      <c:valAx>
        <c:axId val="591563504"/>
        <c:scaling>
          <c:orientation val="minMax"/>
          <c:min val="1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00033595800521"/>
              <c:y val="0.842264404449443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200000000000002E-2"/>
              <c:y val="0.372024746906636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15635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320016797900261"/>
          <c:y val="0.92262185976752908"/>
          <c:w val="0.75520067191601048"/>
          <c:h val="5.95241219847518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BW Cas - O-C Diagr.</a:t>
            </a:r>
          </a:p>
        </c:rich>
      </c:tx>
      <c:layout>
        <c:manualLayout>
          <c:xMode val="edge"/>
          <c:yMode val="edge"/>
          <c:x val="0.3739967897271268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01605136436598"/>
          <c:y val="0.1458966565349544"/>
          <c:w val="0.8202247191011236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-0.5</c:v>
                </c:pt>
                <c:pt idx="1">
                  <c:v>19566</c:v>
                </c:pt>
                <c:pt idx="2">
                  <c:v>19566</c:v>
                </c:pt>
                <c:pt idx="3">
                  <c:v>19601</c:v>
                </c:pt>
                <c:pt idx="4">
                  <c:v>19680</c:v>
                </c:pt>
                <c:pt idx="5">
                  <c:v>19684</c:v>
                </c:pt>
                <c:pt idx="6">
                  <c:v>19684</c:v>
                </c:pt>
                <c:pt idx="7">
                  <c:v>19791</c:v>
                </c:pt>
                <c:pt idx="8">
                  <c:v>21008.5</c:v>
                </c:pt>
                <c:pt idx="9">
                  <c:v>21282.5</c:v>
                </c:pt>
                <c:pt idx="10">
                  <c:v>21909.5</c:v>
                </c:pt>
              </c:numCache>
            </c:numRef>
          </c:xVal>
          <c:yVal>
            <c:numRef>
              <c:f>'A (old)'!$H$21:$H$995</c:f>
              <c:numCache>
                <c:formatCode>General</c:formatCode>
                <c:ptCount val="975"/>
                <c:pt idx="0">
                  <c:v>1.2629999999990105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92-4C02-B90B-F5047F82D1F4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(old)'!$D$22:$D$46</c:f>
                <c:numCache>
                  <c:formatCode>General</c:formatCode>
                  <c:ptCount val="25"/>
                  <c:pt idx="0">
                    <c:v>2.0000000000000001E-4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6.9999999999999999E-4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7">
                    <c:v>3.0000000000000001E-3</c:v>
                  </c:pt>
                  <c:pt idx="8">
                    <c:v>5.0000000000000001E-3</c:v>
                  </c:pt>
                  <c:pt idx="9">
                    <c:v>1E-3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(old)'!$F$21:$F$995</c:f>
              <c:numCache>
                <c:formatCode>General</c:formatCode>
                <c:ptCount val="975"/>
                <c:pt idx="0">
                  <c:v>-0.5</c:v>
                </c:pt>
                <c:pt idx="1">
                  <c:v>19566</c:v>
                </c:pt>
                <c:pt idx="2">
                  <c:v>19566</c:v>
                </c:pt>
                <c:pt idx="3">
                  <c:v>19601</c:v>
                </c:pt>
                <c:pt idx="4">
                  <c:v>19680</c:v>
                </c:pt>
                <c:pt idx="5">
                  <c:v>19684</c:v>
                </c:pt>
                <c:pt idx="6">
                  <c:v>19684</c:v>
                </c:pt>
                <c:pt idx="7">
                  <c:v>19791</c:v>
                </c:pt>
                <c:pt idx="8">
                  <c:v>21008.5</c:v>
                </c:pt>
                <c:pt idx="9">
                  <c:v>21282.5</c:v>
                </c:pt>
                <c:pt idx="10">
                  <c:v>21909.5</c:v>
                </c:pt>
              </c:numCache>
            </c:numRef>
          </c:xVal>
          <c:yVal>
            <c:numRef>
              <c:f>'A (old)'!$I$21:$I$995</c:f>
              <c:numCache>
                <c:formatCode>General</c:formatCode>
                <c:ptCount val="975"/>
                <c:pt idx="1">
                  <c:v>-0.18920000000071013</c:v>
                </c:pt>
                <c:pt idx="3">
                  <c:v>-0.18839999999909196</c:v>
                </c:pt>
                <c:pt idx="4">
                  <c:v>-0.2011999999958789</c:v>
                </c:pt>
                <c:pt idx="5">
                  <c:v>-0.20549999999639113</c:v>
                </c:pt>
                <c:pt idx="6">
                  <c:v>-0.19449999999778811</c:v>
                </c:pt>
                <c:pt idx="7">
                  <c:v>-0.20049999999901047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92-4C02-B90B-F5047F82D1F4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(old)'!$D$21:$D$46</c:f>
                <c:numCache>
                  <c:formatCode>General</c:formatCode>
                  <c:ptCount val="26"/>
                  <c:pt idx="0">
                    <c:v>0</c:v>
                  </c:pt>
                  <c:pt idx="1">
                    <c:v>2.0000000000000001E-4</c:v>
                  </c:pt>
                  <c:pt idx="3">
                    <c:v>1E-3</c:v>
                  </c:pt>
                  <c:pt idx="4">
                    <c:v>8.0000000000000004E-4</c:v>
                  </c:pt>
                  <c:pt idx="5">
                    <c:v>6.9999999999999999E-4</c:v>
                  </c:pt>
                  <c:pt idx="6">
                    <c:v>7.0000000000000001E-3</c:v>
                  </c:pt>
                  <c:pt idx="7">
                    <c:v>5.0000000000000001E-3</c:v>
                  </c:pt>
                  <c:pt idx="8">
                    <c:v>3.0000000000000001E-3</c:v>
                  </c:pt>
                  <c:pt idx="9">
                    <c:v>5.0000000000000001E-3</c:v>
                  </c:pt>
                  <c:pt idx="10">
                    <c:v>1E-3</c:v>
                  </c:pt>
                </c:numCache>
              </c:numRef>
            </c:plus>
            <c:minus>
              <c:numRef>
                <c:f>'A (old)'!$D$21:$D$46</c:f>
                <c:numCache>
                  <c:formatCode>General</c:formatCode>
                  <c:ptCount val="26"/>
                  <c:pt idx="0">
                    <c:v>0</c:v>
                  </c:pt>
                  <c:pt idx="1">
                    <c:v>2.0000000000000001E-4</c:v>
                  </c:pt>
                  <c:pt idx="3">
                    <c:v>1E-3</c:v>
                  </c:pt>
                  <c:pt idx="4">
                    <c:v>8.0000000000000004E-4</c:v>
                  </c:pt>
                  <c:pt idx="5">
                    <c:v>6.9999999999999999E-4</c:v>
                  </c:pt>
                  <c:pt idx="6">
                    <c:v>7.0000000000000001E-3</c:v>
                  </c:pt>
                  <c:pt idx="7">
                    <c:v>5.0000000000000001E-3</c:v>
                  </c:pt>
                  <c:pt idx="8">
                    <c:v>3.0000000000000001E-3</c:v>
                  </c:pt>
                  <c:pt idx="9">
                    <c:v>5.0000000000000001E-3</c:v>
                  </c:pt>
                  <c:pt idx="10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(old)'!$F$21:$F$995</c:f>
              <c:numCache>
                <c:formatCode>General</c:formatCode>
                <c:ptCount val="975"/>
                <c:pt idx="0">
                  <c:v>-0.5</c:v>
                </c:pt>
                <c:pt idx="1">
                  <c:v>19566</c:v>
                </c:pt>
                <c:pt idx="2">
                  <c:v>19566</c:v>
                </c:pt>
                <c:pt idx="3">
                  <c:v>19601</c:v>
                </c:pt>
                <c:pt idx="4">
                  <c:v>19680</c:v>
                </c:pt>
                <c:pt idx="5">
                  <c:v>19684</c:v>
                </c:pt>
                <c:pt idx="6">
                  <c:v>19684</c:v>
                </c:pt>
                <c:pt idx="7">
                  <c:v>19791</c:v>
                </c:pt>
                <c:pt idx="8">
                  <c:v>21008.5</c:v>
                </c:pt>
                <c:pt idx="9">
                  <c:v>21282.5</c:v>
                </c:pt>
                <c:pt idx="10">
                  <c:v>21909.5</c:v>
                </c:pt>
              </c:numCache>
            </c:numRef>
          </c:xVal>
          <c:yVal>
            <c:numRef>
              <c:f>'A (old)'!$J$21:$J$995</c:f>
              <c:numCache>
                <c:formatCode>General</c:formatCode>
                <c:ptCount val="975"/>
                <c:pt idx="2">
                  <c:v>-0.18920000000071013</c:v>
                </c:pt>
                <c:pt idx="8">
                  <c:v>0.21699999999691499</c:v>
                </c:pt>
                <c:pt idx="9">
                  <c:v>0.16400000000430737</c:v>
                </c:pt>
                <c:pt idx="10">
                  <c:v>5.2700000000186265E-2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392-4C02-B90B-F5047F82D1F4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-0.5</c:v>
                </c:pt>
                <c:pt idx="1">
                  <c:v>19566</c:v>
                </c:pt>
                <c:pt idx="2">
                  <c:v>19566</c:v>
                </c:pt>
                <c:pt idx="3">
                  <c:v>19601</c:v>
                </c:pt>
                <c:pt idx="4">
                  <c:v>19680</c:v>
                </c:pt>
                <c:pt idx="5">
                  <c:v>19684</c:v>
                </c:pt>
                <c:pt idx="6">
                  <c:v>19684</c:v>
                </c:pt>
                <c:pt idx="7">
                  <c:v>19791</c:v>
                </c:pt>
                <c:pt idx="8">
                  <c:v>21008.5</c:v>
                </c:pt>
                <c:pt idx="9">
                  <c:v>21282.5</c:v>
                </c:pt>
                <c:pt idx="10">
                  <c:v>21909.5</c:v>
                </c:pt>
              </c:numCache>
            </c:numRef>
          </c:xVal>
          <c:yVal>
            <c:numRef>
              <c:f>'A (old)'!$K$21:$K$995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392-4C02-B90B-F5047F82D1F4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-0.5</c:v>
                </c:pt>
                <c:pt idx="1">
                  <c:v>19566</c:v>
                </c:pt>
                <c:pt idx="2">
                  <c:v>19566</c:v>
                </c:pt>
                <c:pt idx="3">
                  <c:v>19601</c:v>
                </c:pt>
                <c:pt idx="4">
                  <c:v>19680</c:v>
                </c:pt>
                <c:pt idx="5">
                  <c:v>19684</c:v>
                </c:pt>
                <c:pt idx="6">
                  <c:v>19684</c:v>
                </c:pt>
                <c:pt idx="7">
                  <c:v>19791</c:v>
                </c:pt>
                <c:pt idx="8">
                  <c:v>21008.5</c:v>
                </c:pt>
                <c:pt idx="9">
                  <c:v>21282.5</c:v>
                </c:pt>
                <c:pt idx="10">
                  <c:v>21909.5</c:v>
                </c:pt>
              </c:numCache>
            </c:numRef>
          </c:xVal>
          <c:yVal>
            <c:numRef>
              <c:f>'A (old)'!$L$21:$L$995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392-4C02-B90B-F5047F82D1F4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-0.5</c:v>
                </c:pt>
                <c:pt idx="1">
                  <c:v>19566</c:v>
                </c:pt>
                <c:pt idx="2">
                  <c:v>19566</c:v>
                </c:pt>
                <c:pt idx="3">
                  <c:v>19601</c:v>
                </c:pt>
                <c:pt idx="4">
                  <c:v>19680</c:v>
                </c:pt>
                <c:pt idx="5">
                  <c:v>19684</c:v>
                </c:pt>
                <c:pt idx="6">
                  <c:v>19684</c:v>
                </c:pt>
                <c:pt idx="7">
                  <c:v>19791</c:v>
                </c:pt>
                <c:pt idx="8">
                  <c:v>21008.5</c:v>
                </c:pt>
                <c:pt idx="9">
                  <c:v>21282.5</c:v>
                </c:pt>
                <c:pt idx="10">
                  <c:v>21909.5</c:v>
                </c:pt>
              </c:numCache>
            </c:numRef>
          </c:xVal>
          <c:yVal>
            <c:numRef>
              <c:f>'A (old)'!$M$21:$M$995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392-4C02-B90B-F5047F82D1F4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-0.5</c:v>
                </c:pt>
                <c:pt idx="1">
                  <c:v>19566</c:v>
                </c:pt>
                <c:pt idx="2">
                  <c:v>19566</c:v>
                </c:pt>
                <c:pt idx="3">
                  <c:v>19601</c:v>
                </c:pt>
                <c:pt idx="4">
                  <c:v>19680</c:v>
                </c:pt>
                <c:pt idx="5">
                  <c:v>19684</c:v>
                </c:pt>
                <c:pt idx="6">
                  <c:v>19684</c:v>
                </c:pt>
                <c:pt idx="7">
                  <c:v>19791</c:v>
                </c:pt>
                <c:pt idx="8">
                  <c:v>21008.5</c:v>
                </c:pt>
                <c:pt idx="9">
                  <c:v>21282.5</c:v>
                </c:pt>
                <c:pt idx="10">
                  <c:v>21909.5</c:v>
                </c:pt>
              </c:numCache>
            </c:numRef>
          </c:xVal>
          <c:yVal>
            <c:numRef>
              <c:f>'A (old)'!$N$21:$N$995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392-4C02-B90B-F5047F82D1F4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-0.5</c:v>
                </c:pt>
                <c:pt idx="1">
                  <c:v>19566</c:v>
                </c:pt>
                <c:pt idx="2">
                  <c:v>19566</c:v>
                </c:pt>
                <c:pt idx="3">
                  <c:v>19601</c:v>
                </c:pt>
                <c:pt idx="4">
                  <c:v>19680</c:v>
                </c:pt>
                <c:pt idx="5">
                  <c:v>19684</c:v>
                </c:pt>
                <c:pt idx="6">
                  <c:v>19684</c:v>
                </c:pt>
                <c:pt idx="7">
                  <c:v>19791</c:v>
                </c:pt>
                <c:pt idx="8">
                  <c:v>21008.5</c:v>
                </c:pt>
                <c:pt idx="9">
                  <c:v>21282.5</c:v>
                </c:pt>
                <c:pt idx="10">
                  <c:v>21909.5</c:v>
                </c:pt>
              </c:numCache>
            </c:numRef>
          </c:xVal>
          <c:yVal>
            <c:numRef>
              <c:f>'A (old)'!$O$21:$O$995</c:f>
              <c:numCache>
                <c:formatCode>General</c:formatCode>
                <c:ptCount val="975"/>
                <c:pt idx="0">
                  <c:v>-3.2162475357672555</c:v>
                </c:pt>
                <c:pt idx="1">
                  <c:v>-0.19744809047968603</c:v>
                </c:pt>
                <c:pt idx="2">
                  <c:v>-0.19744809047968603</c:v>
                </c:pt>
                <c:pt idx="3">
                  <c:v>-0.19204814769047696</c:v>
                </c:pt>
                <c:pt idx="4">
                  <c:v>-0.17985970539483276</c:v>
                </c:pt>
                <c:pt idx="5">
                  <c:v>-0.17924256907606617</c:v>
                </c:pt>
                <c:pt idx="6">
                  <c:v>-0.17924256907606617</c:v>
                </c:pt>
                <c:pt idx="7">
                  <c:v>-0.16273417254905453</c:v>
                </c:pt>
                <c:pt idx="8">
                  <c:v>2.5106694475585112E-2</c:v>
                </c:pt>
                <c:pt idx="9">
                  <c:v>6.7380532311109853E-2</c:v>
                </c:pt>
                <c:pt idx="10">
                  <c:v>0.16411665027780309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392-4C02-B90B-F5047F82D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1567768"/>
        <c:axId val="1"/>
      </c:scatterChart>
      <c:valAx>
        <c:axId val="591567768"/>
        <c:scaling>
          <c:orientation val="minMax"/>
          <c:max val="25000"/>
          <c:min val="1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4590690208668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.5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75922953451043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1567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6853932584269662"/>
          <c:y val="0.92097264437689974"/>
          <c:w val="0.9117174959871589"/>
          <c:h val="0.9817629179331307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BW Cas - O-C Diagr.</a:t>
            </a:r>
          </a:p>
        </c:rich>
      </c:tx>
      <c:layout>
        <c:manualLayout>
          <c:xMode val="edge"/>
          <c:yMode val="edge"/>
          <c:x val="0.37339794064203513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41046206815604"/>
          <c:y val="0.14545497589659059"/>
          <c:w val="0.81891153801009431"/>
          <c:h val="0.6333352075497382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-0.5</c:v>
                </c:pt>
                <c:pt idx="1">
                  <c:v>19566</c:v>
                </c:pt>
                <c:pt idx="2">
                  <c:v>19566</c:v>
                </c:pt>
                <c:pt idx="3">
                  <c:v>19601</c:v>
                </c:pt>
                <c:pt idx="4">
                  <c:v>19680</c:v>
                </c:pt>
                <c:pt idx="5">
                  <c:v>19684</c:v>
                </c:pt>
                <c:pt idx="6">
                  <c:v>19684</c:v>
                </c:pt>
                <c:pt idx="7">
                  <c:v>19791</c:v>
                </c:pt>
                <c:pt idx="8">
                  <c:v>21008.5</c:v>
                </c:pt>
                <c:pt idx="9">
                  <c:v>21282.5</c:v>
                </c:pt>
                <c:pt idx="10">
                  <c:v>21909.5</c:v>
                </c:pt>
              </c:numCache>
            </c:numRef>
          </c:xVal>
          <c:yVal>
            <c:numRef>
              <c:f>'A (old)'!$H$21:$H$995</c:f>
              <c:numCache>
                <c:formatCode>General</c:formatCode>
                <c:ptCount val="975"/>
                <c:pt idx="0">
                  <c:v>1.2629999999990105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DE-467E-B91B-D5110DD2B3BD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(old)'!$D$22:$D$46</c:f>
                <c:numCache>
                  <c:formatCode>General</c:formatCode>
                  <c:ptCount val="25"/>
                  <c:pt idx="0">
                    <c:v>2.0000000000000001E-4</c:v>
                  </c:pt>
                  <c:pt idx="2">
                    <c:v>1E-3</c:v>
                  </c:pt>
                  <c:pt idx="3">
                    <c:v>8.0000000000000004E-4</c:v>
                  </c:pt>
                  <c:pt idx="4">
                    <c:v>6.9999999999999999E-4</c:v>
                  </c:pt>
                  <c:pt idx="5">
                    <c:v>7.0000000000000001E-3</c:v>
                  </c:pt>
                  <c:pt idx="6">
                    <c:v>5.0000000000000001E-3</c:v>
                  </c:pt>
                  <c:pt idx="7">
                    <c:v>3.0000000000000001E-3</c:v>
                  </c:pt>
                  <c:pt idx="8">
                    <c:v>5.0000000000000001E-3</c:v>
                  </c:pt>
                  <c:pt idx="9">
                    <c:v>1E-3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(old)'!$F$21:$F$995</c:f>
              <c:numCache>
                <c:formatCode>General</c:formatCode>
                <c:ptCount val="975"/>
                <c:pt idx="0">
                  <c:v>-0.5</c:v>
                </c:pt>
                <c:pt idx="1">
                  <c:v>19566</c:v>
                </c:pt>
                <c:pt idx="2">
                  <c:v>19566</c:v>
                </c:pt>
                <c:pt idx="3">
                  <c:v>19601</c:v>
                </c:pt>
                <c:pt idx="4">
                  <c:v>19680</c:v>
                </c:pt>
                <c:pt idx="5">
                  <c:v>19684</c:v>
                </c:pt>
                <c:pt idx="6">
                  <c:v>19684</c:v>
                </c:pt>
                <c:pt idx="7">
                  <c:v>19791</c:v>
                </c:pt>
                <c:pt idx="8">
                  <c:v>21008.5</c:v>
                </c:pt>
                <c:pt idx="9">
                  <c:v>21282.5</c:v>
                </c:pt>
                <c:pt idx="10">
                  <c:v>21909.5</c:v>
                </c:pt>
              </c:numCache>
            </c:numRef>
          </c:xVal>
          <c:yVal>
            <c:numRef>
              <c:f>'A (old)'!$I$21:$I$995</c:f>
              <c:numCache>
                <c:formatCode>General</c:formatCode>
                <c:ptCount val="975"/>
                <c:pt idx="1">
                  <c:v>-0.18920000000071013</c:v>
                </c:pt>
                <c:pt idx="3">
                  <c:v>-0.18839999999909196</c:v>
                </c:pt>
                <c:pt idx="4">
                  <c:v>-0.2011999999958789</c:v>
                </c:pt>
                <c:pt idx="5">
                  <c:v>-0.20549999999639113</c:v>
                </c:pt>
                <c:pt idx="6">
                  <c:v>-0.19449999999778811</c:v>
                </c:pt>
                <c:pt idx="7">
                  <c:v>-0.20049999999901047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DE-467E-B91B-D5110DD2B3BD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(old)'!$D$21:$D$46</c:f>
                <c:numCache>
                  <c:formatCode>General</c:formatCode>
                  <c:ptCount val="26"/>
                  <c:pt idx="0">
                    <c:v>0</c:v>
                  </c:pt>
                  <c:pt idx="1">
                    <c:v>2.0000000000000001E-4</c:v>
                  </c:pt>
                  <c:pt idx="3">
                    <c:v>1E-3</c:v>
                  </c:pt>
                  <c:pt idx="4">
                    <c:v>8.0000000000000004E-4</c:v>
                  </c:pt>
                  <c:pt idx="5">
                    <c:v>6.9999999999999999E-4</c:v>
                  </c:pt>
                  <c:pt idx="6">
                    <c:v>7.0000000000000001E-3</c:v>
                  </c:pt>
                  <c:pt idx="7">
                    <c:v>5.0000000000000001E-3</c:v>
                  </c:pt>
                  <c:pt idx="8">
                    <c:v>3.0000000000000001E-3</c:v>
                  </c:pt>
                  <c:pt idx="9">
                    <c:v>5.0000000000000001E-3</c:v>
                  </c:pt>
                  <c:pt idx="10">
                    <c:v>1E-3</c:v>
                  </c:pt>
                </c:numCache>
              </c:numRef>
            </c:plus>
            <c:minus>
              <c:numRef>
                <c:f>'A (old)'!$D$21:$D$46</c:f>
                <c:numCache>
                  <c:formatCode>General</c:formatCode>
                  <c:ptCount val="26"/>
                  <c:pt idx="0">
                    <c:v>0</c:v>
                  </c:pt>
                  <c:pt idx="1">
                    <c:v>2.0000000000000001E-4</c:v>
                  </c:pt>
                  <c:pt idx="3">
                    <c:v>1E-3</c:v>
                  </c:pt>
                  <c:pt idx="4">
                    <c:v>8.0000000000000004E-4</c:v>
                  </c:pt>
                  <c:pt idx="5">
                    <c:v>6.9999999999999999E-4</c:v>
                  </c:pt>
                  <c:pt idx="6">
                    <c:v>7.0000000000000001E-3</c:v>
                  </c:pt>
                  <c:pt idx="7">
                    <c:v>5.0000000000000001E-3</c:v>
                  </c:pt>
                  <c:pt idx="8">
                    <c:v>3.0000000000000001E-3</c:v>
                  </c:pt>
                  <c:pt idx="9">
                    <c:v>5.0000000000000001E-3</c:v>
                  </c:pt>
                  <c:pt idx="10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(old)'!$F$21:$F$995</c:f>
              <c:numCache>
                <c:formatCode>General</c:formatCode>
                <c:ptCount val="975"/>
                <c:pt idx="0">
                  <c:v>-0.5</c:v>
                </c:pt>
                <c:pt idx="1">
                  <c:v>19566</c:v>
                </c:pt>
                <c:pt idx="2">
                  <c:v>19566</c:v>
                </c:pt>
                <c:pt idx="3">
                  <c:v>19601</c:v>
                </c:pt>
                <c:pt idx="4">
                  <c:v>19680</c:v>
                </c:pt>
                <c:pt idx="5">
                  <c:v>19684</c:v>
                </c:pt>
                <c:pt idx="6">
                  <c:v>19684</c:v>
                </c:pt>
                <c:pt idx="7">
                  <c:v>19791</c:v>
                </c:pt>
                <c:pt idx="8">
                  <c:v>21008.5</c:v>
                </c:pt>
                <c:pt idx="9">
                  <c:v>21282.5</c:v>
                </c:pt>
                <c:pt idx="10">
                  <c:v>21909.5</c:v>
                </c:pt>
              </c:numCache>
            </c:numRef>
          </c:xVal>
          <c:yVal>
            <c:numRef>
              <c:f>'A (old)'!$J$21:$J$995</c:f>
              <c:numCache>
                <c:formatCode>General</c:formatCode>
                <c:ptCount val="975"/>
                <c:pt idx="2">
                  <c:v>-0.18920000000071013</c:v>
                </c:pt>
                <c:pt idx="8">
                  <c:v>0.21699999999691499</c:v>
                </c:pt>
                <c:pt idx="9">
                  <c:v>0.16400000000430737</c:v>
                </c:pt>
                <c:pt idx="10">
                  <c:v>5.2700000000186265E-2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1DE-467E-B91B-D5110DD2B3BD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-0.5</c:v>
                </c:pt>
                <c:pt idx="1">
                  <c:v>19566</c:v>
                </c:pt>
                <c:pt idx="2">
                  <c:v>19566</c:v>
                </c:pt>
                <c:pt idx="3">
                  <c:v>19601</c:v>
                </c:pt>
                <c:pt idx="4">
                  <c:v>19680</c:v>
                </c:pt>
                <c:pt idx="5">
                  <c:v>19684</c:v>
                </c:pt>
                <c:pt idx="6">
                  <c:v>19684</c:v>
                </c:pt>
                <c:pt idx="7">
                  <c:v>19791</c:v>
                </c:pt>
                <c:pt idx="8">
                  <c:v>21008.5</c:v>
                </c:pt>
                <c:pt idx="9">
                  <c:v>21282.5</c:v>
                </c:pt>
                <c:pt idx="10">
                  <c:v>21909.5</c:v>
                </c:pt>
              </c:numCache>
            </c:numRef>
          </c:xVal>
          <c:yVal>
            <c:numRef>
              <c:f>'A (old)'!$K$21:$K$995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1DE-467E-B91B-D5110DD2B3BD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-0.5</c:v>
                </c:pt>
                <c:pt idx="1">
                  <c:v>19566</c:v>
                </c:pt>
                <c:pt idx="2">
                  <c:v>19566</c:v>
                </c:pt>
                <c:pt idx="3">
                  <c:v>19601</c:v>
                </c:pt>
                <c:pt idx="4">
                  <c:v>19680</c:v>
                </c:pt>
                <c:pt idx="5">
                  <c:v>19684</c:v>
                </c:pt>
                <c:pt idx="6">
                  <c:v>19684</c:v>
                </c:pt>
                <c:pt idx="7">
                  <c:v>19791</c:v>
                </c:pt>
                <c:pt idx="8">
                  <c:v>21008.5</c:v>
                </c:pt>
                <c:pt idx="9">
                  <c:v>21282.5</c:v>
                </c:pt>
                <c:pt idx="10">
                  <c:v>21909.5</c:v>
                </c:pt>
              </c:numCache>
            </c:numRef>
          </c:xVal>
          <c:yVal>
            <c:numRef>
              <c:f>'A (old)'!$L$21:$L$995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1DE-467E-B91B-D5110DD2B3BD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-0.5</c:v>
                </c:pt>
                <c:pt idx="1">
                  <c:v>19566</c:v>
                </c:pt>
                <c:pt idx="2">
                  <c:v>19566</c:v>
                </c:pt>
                <c:pt idx="3">
                  <c:v>19601</c:v>
                </c:pt>
                <c:pt idx="4">
                  <c:v>19680</c:v>
                </c:pt>
                <c:pt idx="5">
                  <c:v>19684</c:v>
                </c:pt>
                <c:pt idx="6">
                  <c:v>19684</c:v>
                </c:pt>
                <c:pt idx="7">
                  <c:v>19791</c:v>
                </c:pt>
                <c:pt idx="8">
                  <c:v>21008.5</c:v>
                </c:pt>
                <c:pt idx="9">
                  <c:v>21282.5</c:v>
                </c:pt>
                <c:pt idx="10">
                  <c:v>21909.5</c:v>
                </c:pt>
              </c:numCache>
            </c:numRef>
          </c:xVal>
          <c:yVal>
            <c:numRef>
              <c:f>'A (old)'!$M$21:$M$995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1DE-467E-B91B-D5110DD2B3BD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-0.5</c:v>
                </c:pt>
                <c:pt idx="1">
                  <c:v>19566</c:v>
                </c:pt>
                <c:pt idx="2">
                  <c:v>19566</c:v>
                </c:pt>
                <c:pt idx="3">
                  <c:v>19601</c:v>
                </c:pt>
                <c:pt idx="4">
                  <c:v>19680</c:v>
                </c:pt>
                <c:pt idx="5">
                  <c:v>19684</c:v>
                </c:pt>
                <c:pt idx="6">
                  <c:v>19684</c:v>
                </c:pt>
                <c:pt idx="7">
                  <c:v>19791</c:v>
                </c:pt>
                <c:pt idx="8">
                  <c:v>21008.5</c:v>
                </c:pt>
                <c:pt idx="9">
                  <c:v>21282.5</c:v>
                </c:pt>
                <c:pt idx="10">
                  <c:v>21909.5</c:v>
                </c:pt>
              </c:numCache>
            </c:numRef>
          </c:xVal>
          <c:yVal>
            <c:numRef>
              <c:f>'A (old)'!$N$21:$N$995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1DE-467E-B91B-D5110DD2B3BD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-0.5</c:v>
                </c:pt>
                <c:pt idx="1">
                  <c:v>19566</c:v>
                </c:pt>
                <c:pt idx="2">
                  <c:v>19566</c:v>
                </c:pt>
                <c:pt idx="3">
                  <c:v>19601</c:v>
                </c:pt>
                <c:pt idx="4">
                  <c:v>19680</c:v>
                </c:pt>
                <c:pt idx="5">
                  <c:v>19684</c:v>
                </c:pt>
                <c:pt idx="6">
                  <c:v>19684</c:v>
                </c:pt>
                <c:pt idx="7">
                  <c:v>19791</c:v>
                </c:pt>
                <c:pt idx="8">
                  <c:v>21008.5</c:v>
                </c:pt>
                <c:pt idx="9">
                  <c:v>21282.5</c:v>
                </c:pt>
                <c:pt idx="10">
                  <c:v>21909.5</c:v>
                </c:pt>
              </c:numCache>
            </c:numRef>
          </c:xVal>
          <c:yVal>
            <c:numRef>
              <c:f>'A (old)'!$O$21:$O$995</c:f>
              <c:numCache>
                <c:formatCode>General</c:formatCode>
                <c:ptCount val="975"/>
                <c:pt idx="0">
                  <c:v>-3.2162475357672555</c:v>
                </c:pt>
                <c:pt idx="1">
                  <c:v>-0.19744809047968603</c:v>
                </c:pt>
                <c:pt idx="2">
                  <c:v>-0.19744809047968603</c:v>
                </c:pt>
                <c:pt idx="3">
                  <c:v>-0.19204814769047696</c:v>
                </c:pt>
                <c:pt idx="4">
                  <c:v>-0.17985970539483276</c:v>
                </c:pt>
                <c:pt idx="5">
                  <c:v>-0.17924256907606617</c:v>
                </c:pt>
                <c:pt idx="6">
                  <c:v>-0.17924256907606617</c:v>
                </c:pt>
                <c:pt idx="7">
                  <c:v>-0.16273417254905453</c:v>
                </c:pt>
                <c:pt idx="8">
                  <c:v>2.5106694475585112E-2</c:v>
                </c:pt>
                <c:pt idx="9">
                  <c:v>6.7380532311109853E-2</c:v>
                </c:pt>
                <c:pt idx="10">
                  <c:v>0.16411665027780309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1DE-467E-B91B-D5110DD2B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1572360"/>
        <c:axId val="1"/>
      </c:scatterChart>
      <c:valAx>
        <c:axId val="591572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23161047176802"/>
              <c:y val="0.839396484530342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28205128205128E-2"/>
              <c:y val="0.369697924123120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15723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6987213136819435"/>
          <c:y val="0.92121498449057504"/>
          <c:w val="0.91186048859277202"/>
          <c:h val="0.981821363238686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0</xdr:row>
      <xdr:rowOff>47625</xdr:rowOff>
    </xdr:from>
    <xdr:to>
      <xdr:col>27</xdr:col>
      <xdr:colOff>495300</xdr:colOff>
      <xdr:row>18</xdr:row>
      <xdr:rowOff>161925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C157C204-2576-1C5A-5C43-EAF0FA0462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0</xdr:row>
      <xdr:rowOff>0</xdr:rowOff>
    </xdr:from>
    <xdr:to>
      <xdr:col>16</xdr:col>
      <xdr:colOff>371475</xdr:colOff>
      <xdr:row>18</xdr:row>
      <xdr:rowOff>123825</xdr:rowOff>
    </xdr:to>
    <xdr:graphicFrame macro="">
      <xdr:nvGraphicFramePr>
        <xdr:cNvPr id="50181" name="Chart 3">
          <a:extLst>
            <a:ext uri="{FF2B5EF4-FFF2-40B4-BE49-F238E27FC236}">
              <a16:creationId xmlns:a16="http://schemas.microsoft.com/office/drawing/2014/main" id="{50182165-8721-BB01-6336-A996E1097B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0</xdr:rowOff>
    </xdr:from>
    <xdr:to>
      <xdr:col>15</xdr:col>
      <xdr:colOff>295275</xdr:colOff>
      <xdr:row>18</xdr:row>
      <xdr:rowOff>104775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8B1DAB8-ECC6-3F74-B769-6BCDC8C564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26</xdr:col>
      <xdr:colOff>457200</xdr:colOff>
      <xdr:row>18</xdr:row>
      <xdr:rowOff>114300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98619CAD-6ADF-D564-77C6-E06C7D1521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12" TargetMode="External"/><Relationship Id="rId13" Type="http://schemas.openxmlformats.org/officeDocument/2006/relationships/hyperlink" Target="http://www.konkoly.hu/cgi-bin/IBVS?6042" TargetMode="External"/><Relationship Id="rId3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www.bav-astro.de/sfs/BAVM_link.php?BAVMnr=178" TargetMode="External"/><Relationship Id="rId12" Type="http://schemas.openxmlformats.org/officeDocument/2006/relationships/hyperlink" Target="http://www.konkoly.hu/cgi-bin/IBVS?6011" TargetMode="External"/><Relationship Id="rId2" Type="http://schemas.openxmlformats.org/officeDocument/2006/relationships/hyperlink" Target="http://www.konkoly.hu/cgi-bin/IBVS?4531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var.astro.cz/oejv/issues/oejv0003.pdf" TargetMode="External"/><Relationship Id="rId11" Type="http://schemas.openxmlformats.org/officeDocument/2006/relationships/hyperlink" Target="http://www.bav-astro.de/sfs/BAVM_link.php?BAVMnr=215" TargetMode="External"/><Relationship Id="rId5" Type="http://schemas.openxmlformats.org/officeDocument/2006/relationships/hyperlink" Target="http://var.astro.cz/oejv/issues/oejv0074.pdf" TargetMode="External"/><Relationship Id="rId10" Type="http://schemas.openxmlformats.org/officeDocument/2006/relationships/hyperlink" Target="http://www.konkoly.hu/cgi-bin/IBVS?5960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bav-astro.de/sfs/BAVM_link.php?BAVMnr=2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J76"/>
  <sheetViews>
    <sheetView tabSelected="1" workbookViewId="0">
      <pane xSplit="14" ySplit="22" topLeftCell="O44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6" ht="20.25" x14ac:dyDescent="0.3">
      <c r="A1" s="1" t="s">
        <v>47</v>
      </c>
    </row>
    <row r="2" spans="1:6" x14ac:dyDescent="0.2">
      <c r="A2" t="s">
        <v>25</v>
      </c>
      <c r="B2" t="s">
        <v>48</v>
      </c>
    </row>
    <row r="4" spans="1:6" ht="14.25" thickTop="1" thickBot="1" x14ac:dyDescent="0.25">
      <c r="A4" s="7" t="s">
        <v>0</v>
      </c>
      <c r="C4" s="3">
        <v>25999.26</v>
      </c>
      <c r="D4" s="4">
        <v>1.895</v>
      </c>
    </row>
    <row r="5" spans="1:6" ht="13.5" thickTop="1" x14ac:dyDescent="0.2">
      <c r="A5" s="17" t="s">
        <v>50</v>
      </c>
      <c r="B5" s="12"/>
      <c r="C5" s="18">
        <v>8</v>
      </c>
      <c r="D5" s="12" t="s">
        <v>51</v>
      </c>
    </row>
    <row r="6" spans="1:6" x14ac:dyDescent="0.2">
      <c r="A6" s="7" t="s">
        <v>1</v>
      </c>
    </row>
    <row r="7" spans="1:6" x14ac:dyDescent="0.2">
      <c r="A7" t="s">
        <v>2</v>
      </c>
      <c r="C7">
        <f>+D7-C8/2</f>
        <v>25998.628499999999</v>
      </c>
      <c r="D7" s="11">
        <v>25999.26</v>
      </c>
    </row>
    <row r="8" spans="1:6" x14ac:dyDescent="0.2">
      <c r="A8" t="s">
        <v>3</v>
      </c>
      <c r="C8">
        <v>1.2629999999999999</v>
      </c>
    </row>
    <row r="9" spans="1:6" x14ac:dyDescent="0.2">
      <c r="A9" s="31" t="s">
        <v>56</v>
      </c>
      <c r="B9" s="32">
        <v>22</v>
      </c>
      <c r="C9" s="20" t="str">
        <f>"F"&amp;B9</f>
        <v>F22</v>
      </c>
      <c r="D9" s="13" t="str">
        <f>"G"&amp;B9</f>
        <v>G22</v>
      </c>
    </row>
    <row r="10" spans="1:6" ht="13.5" thickBot="1" x14ac:dyDescent="0.25">
      <c r="A10" s="12"/>
      <c r="B10" s="12"/>
      <c r="C10" s="6" t="s">
        <v>21</v>
      </c>
      <c r="D10" s="6" t="s">
        <v>22</v>
      </c>
      <c r="E10" s="12"/>
    </row>
    <row r="11" spans="1:6" x14ac:dyDescent="0.2">
      <c r="A11" s="12" t="s">
        <v>16</v>
      </c>
      <c r="B11" s="12"/>
      <c r="C11" s="19">
        <f ca="1">INTERCEPT(INDIRECT($D$9):G992,INDIRECT($C$9):F992)</f>
        <v>2.3171996027082429</v>
      </c>
      <c r="D11" s="5"/>
      <c r="E11" s="12"/>
    </row>
    <row r="12" spans="1:6" x14ac:dyDescent="0.2">
      <c r="A12" s="12" t="s">
        <v>17</v>
      </c>
      <c r="B12" s="12"/>
      <c r="C12" s="19">
        <f ca="1">SLOPE(INDIRECT($D$9):G992,INDIRECT($C$9):F992)</f>
        <v>-1.2999282351345559E-4</v>
      </c>
      <c r="D12" s="5"/>
      <c r="E12" s="12"/>
    </row>
    <row r="13" spans="1:6" x14ac:dyDescent="0.2">
      <c r="A13" s="12" t="s">
        <v>20</v>
      </c>
      <c r="B13" s="12"/>
      <c r="C13" s="5" t="s">
        <v>14</v>
      </c>
    </row>
    <row r="14" spans="1:6" x14ac:dyDescent="0.2">
      <c r="A14" s="12"/>
      <c r="B14" s="12"/>
      <c r="C14" s="12"/>
    </row>
    <row r="15" spans="1:6" x14ac:dyDescent="0.2">
      <c r="A15" s="21" t="s">
        <v>18</v>
      </c>
      <c r="B15" s="12"/>
      <c r="C15" s="22">
        <f ca="1">(C7+C11)+(C8+C12)*INT(MAX(F21:F3533))</f>
        <v>59275.044648688774</v>
      </c>
      <c r="E15" s="23" t="s">
        <v>62</v>
      </c>
      <c r="F15" s="18">
        <v>1</v>
      </c>
    </row>
    <row r="16" spans="1:6" x14ac:dyDescent="0.2">
      <c r="A16" s="25" t="s">
        <v>4</v>
      </c>
      <c r="B16" s="12"/>
      <c r="C16" s="26">
        <f ca="1">+C8+C12</f>
        <v>1.2628700071764865</v>
      </c>
      <c r="E16" s="23" t="s">
        <v>52</v>
      </c>
      <c r="F16" s="24">
        <f ca="1">NOW()+15018.5+$C$5/24</f>
        <v>59949.473294444448</v>
      </c>
    </row>
    <row r="17" spans="1:36" ht="13.5" thickBot="1" x14ac:dyDescent="0.25">
      <c r="A17" s="23" t="s">
        <v>46</v>
      </c>
      <c r="B17" s="12"/>
      <c r="C17" s="12">
        <f>COUNT(C21:C2191)</f>
        <v>34</v>
      </c>
      <c r="E17" s="23" t="s">
        <v>63</v>
      </c>
      <c r="F17" s="24">
        <f ca="1">ROUND(2*(F16-$C$7)/$C$8,0)/2+F15</f>
        <v>26882</v>
      </c>
    </row>
    <row r="18" spans="1:36" ht="14.25" thickTop="1" thickBot="1" x14ac:dyDescent="0.25">
      <c r="A18" s="25" t="s">
        <v>5</v>
      </c>
      <c r="B18" s="12"/>
      <c r="C18" s="28">
        <f ca="1">+C15</f>
        <v>59275.044648688774</v>
      </c>
      <c r="D18" s="29">
        <f ca="1">+C16</f>
        <v>1.2628700071764865</v>
      </c>
      <c r="E18" s="23" t="s">
        <v>53</v>
      </c>
      <c r="F18" s="13">
        <f ca="1">ROUND(2*(F16-$C$15)/$C$16,0)/2+F15</f>
        <v>535</v>
      </c>
    </row>
    <row r="19" spans="1:36" ht="13.5" thickTop="1" x14ac:dyDescent="0.2">
      <c r="E19" s="23" t="s">
        <v>54</v>
      </c>
      <c r="F19" s="27">
        <f ca="1">+$C$15+$C$16*F18-15018.5-$C$5/24</f>
        <v>44931.846769194861</v>
      </c>
    </row>
    <row r="20" spans="1:36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75</v>
      </c>
      <c r="I20" s="9" t="s">
        <v>60</v>
      </c>
      <c r="J20" s="9" t="s">
        <v>72</v>
      </c>
      <c r="K20" s="9" t="s">
        <v>71</v>
      </c>
      <c r="L20" s="9" t="s">
        <v>26</v>
      </c>
      <c r="M20" s="9" t="s">
        <v>27</v>
      </c>
      <c r="N20" s="9" t="s">
        <v>28</v>
      </c>
      <c r="O20" s="9" t="s">
        <v>24</v>
      </c>
      <c r="P20" s="8" t="s">
        <v>23</v>
      </c>
      <c r="Q20" s="6" t="s">
        <v>15</v>
      </c>
      <c r="R20" s="6"/>
      <c r="S20" s="6"/>
      <c r="T20" s="6"/>
      <c r="U20" s="51" t="s">
        <v>67</v>
      </c>
    </row>
    <row r="21" spans="1:36" x14ac:dyDescent="0.2">
      <c r="A21" t="s">
        <v>12</v>
      </c>
      <c r="B21" s="5"/>
      <c r="C21" s="16">
        <v>25999.26</v>
      </c>
      <c r="D21" s="16" t="s">
        <v>14</v>
      </c>
      <c r="E21">
        <f t="shared" ref="E21:E28" si="0">+(C21-C$7)/C$8</f>
        <v>0.49999999999960831</v>
      </c>
      <c r="F21">
        <f t="shared" ref="F21:F28" si="1">ROUND(2*E21,0)/2</f>
        <v>0.5</v>
      </c>
      <c r="G21">
        <f t="shared" ref="G21:G35" si="2">+C21-(C$7+F21*C$8)</f>
        <v>0</v>
      </c>
      <c r="H21">
        <f>G21</f>
        <v>0</v>
      </c>
      <c r="O21">
        <f t="shared" ref="O21:O53" ca="1" si="3">+C$11+C$12*F21</f>
        <v>2.3171346062964862</v>
      </c>
      <c r="Q21" s="2">
        <f t="shared" ref="Q21:Q53" si="4">+C21-15018.5</f>
        <v>10980.759999999998</v>
      </c>
      <c r="R21" s="2"/>
      <c r="S21" s="2"/>
      <c r="T21" s="2"/>
    </row>
    <row r="22" spans="1:36" x14ac:dyDescent="0.2">
      <c r="A22" t="s">
        <v>38</v>
      </c>
      <c r="B22" s="5"/>
      <c r="C22" s="16">
        <v>50710.297299999998</v>
      </c>
      <c r="D22" s="16">
        <v>2.0000000000000001E-4</v>
      </c>
      <c r="E22">
        <f t="shared" si="0"/>
        <v>19565.85019794141</v>
      </c>
      <c r="F22">
        <f t="shared" si="1"/>
        <v>19566</v>
      </c>
      <c r="G22">
        <f t="shared" si="2"/>
        <v>-0.18920000000071013</v>
      </c>
      <c r="J22">
        <f>G22</f>
        <v>-0.18920000000071013</v>
      </c>
      <c r="O22">
        <f t="shared" ca="1" si="3"/>
        <v>-0.22623998215602903</v>
      </c>
      <c r="Q22" s="2">
        <f t="shared" si="4"/>
        <v>35691.797299999998</v>
      </c>
      <c r="R22" s="2"/>
      <c r="S22" s="2"/>
      <c r="T22" s="2"/>
      <c r="AD22">
        <v>19</v>
      </c>
      <c r="AF22" t="s">
        <v>29</v>
      </c>
      <c r="AG22" t="s">
        <v>30</v>
      </c>
      <c r="AH22" t="s">
        <v>31</v>
      </c>
      <c r="AJ22" t="s">
        <v>32</v>
      </c>
    </row>
    <row r="23" spans="1:36" x14ac:dyDescent="0.2">
      <c r="A23" t="s">
        <v>41</v>
      </c>
      <c r="B23" s="5"/>
      <c r="C23" s="16">
        <v>50710.297299999998</v>
      </c>
      <c r="D23" s="16"/>
      <c r="E23">
        <f t="shared" si="0"/>
        <v>19565.85019794141</v>
      </c>
      <c r="F23">
        <f t="shared" si="1"/>
        <v>19566</v>
      </c>
      <c r="G23">
        <f t="shared" si="2"/>
        <v>-0.18920000000071013</v>
      </c>
      <c r="J23">
        <f>G23</f>
        <v>-0.18920000000071013</v>
      </c>
      <c r="O23">
        <f t="shared" ca="1" si="3"/>
        <v>-0.22623998215602903</v>
      </c>
      <c r="Q23" s="2">
        <f t="shared" si="4"/>
        <v>35691.797299999998</v>
      </c>
      <c r="R23" s="2"/>
      <c r="S23" s="2"/>
      <c r="T23" s="2"/>
    </row>
    <row r="24" spans="1:36" x14ac:dyDescent="0.2">
      <c r="A24" t="s">
        <v>38</v>
      </c>
      <c r="B24" s="5"/>
      <c r="C24" s="16">
        <v>50754.503100000002</v>
      </c>
      <c r="D24" s="16">
        <v>1E-3</v>
      </c>
      <c r="E24">
        <f t="shared" si="0"/>
        <v>19600.850831353924</v>
      </c>
      <c r="F24">
        <f t="shared" si="1"/>
        <v>19601</v>
      </c>
      <c r="G24">
        <f t="shared" si="2"/>
        <v>-0.18839999999909196</v>
      </c>
      <c r="J24">
        <f>G24</f>
        <v>-0.18839999999909196</v>
      </c>
      <c r="O24">
        <f t="shared" ca="1" si="3"/>
        <v>-0.23078973097900013</v>
      </c>
      <c r="Q24" s="2">
        <f t="shared" si="4"/>
        <v>35736.003100000002</v>
      </c>
      <c r="R24" s="2"/>
      <c r="S24" s="2"/>
      <c r="T24" s="2"/>
      <c r="AD24">
        <v>46</v>
      </c>
      <c r="AF24" t="s">
        <v>33</v>
      </c>
      <c r="AG24" t="s">
        <v>34</v>
      </c>
      <c r="AH24" t="s">
        <v>31</v>
      </c>
      <c r="AJ24" t="s">
        <v>32</v>
      </c>
    </row>
    <row r="25" spans="1:36" x14ac:dyDescent="0.2">
      <c r="A25" t="s">
        <v>39</v>
      </c>
      <c r="B25" s="5"/>
      <c r="C25" s="16">
        <v>50854.2673</v>
      </c>
      <c r="D25" s="16">
        <v>8.0000000000000004E-4</v>
      </c>
      <c r="E25">
        <f t="shared" si="0"/>
        <v>19679.840696753763</v>
      </c>
      <c r="F25">
        <f t="shared" si="1"/>
        <v>19680</v>
      </c>
      <c r="G25">
        <f t="shared" si="2"/>
        <v>-0.2011999999958789</v>
      </c>
      <c r="J25">
        <f>G25</f>
        <v>-0.2011999999958789</v>
      </c>
      <c r="O25">
        <f t="shared" ca="1" si="3"/>
        <v>-0.24105916403656291</v>
      </c>
      <c r="Q25" s="2">
        <f t="shared" si="4"/>
        <v>35835.7673</v>
      </c>
      <c r="R25" s="2"/>
      <c r="S25" s="2"/>
      <c r="T25" s="2"/>
      <c r="AD25">
        <v>28</v>
      </c>
      <c r="AF25" t="s">
        <v>33</v>
      </c>
      <c r="AG25" t="s">
        <v>34</v>
      </c>
      <c r="AH25" t="s">
        <v>31</v>
      </c>
      <c r="AJ25" t="s">
        <v>32</v>
      </c>
    </row>
    <row r="26" spans="1:36" x14ac:dyDescent="0.2">
      <c r="A26" t="s">
        <v>39</v>
      </c>
      <c r="B26" s="5"/>
      <c r="C26" s="16">
        <v>50859.315000000002</v>
      </c>
      <c r="D26" s="16">
        <v>6.9999999999999999E-4</v>
      </c>
      <c r="E26">
        <f t="shared" si="0"/>
        <v>19683.837292161523</v>
      </c>
      <c r="F26">
        <f t="shared" si="1"/>
        <v>19684</v>
      </c>
      <c r="G26">
        <f t="shared" si="2"/>
        <v>-0.20549999999639113</v>
      </c>
      <c r="J26">
        <f>G26</f>
        <v>-0.20549999999639113</v>
      </c>
      <c r="O26">
        <f t="shared" ca="1" si="3"/>
        <v>-0.2415791353306167</v>
      </c>
      <c r="Q26" s="2">
        <f t="shared" si="4"/>
        <v>35840.815000000002</v>
      </c>
      <c r="R26" s="2"/>
      <c r="S26" s="2"/>
      <c r="T26" s="2"/>
      <c r="AD26">
        <v>15</v>
      </c>
      <c r="AF26" t="s">
        <v>29</v>
      </c>
      <c r="AG26" t="s">
        <v>30</v>
      </c>
      <c r="AH26" t="s">
        <v>31</v>
      </c>
      <c r="AJ26" t="s">
        <v>32</v>
      </c>
    </row>
    <row r="27" spans="1:36" x14ac:dyDescent="0.2">
      <c r="A27" t="s">
        <v>39</v>
      </c>
      <c r="B27" s="5"/>
      <c r="C27" s="16">
        <v>50859.326000000001</v>
      </c>
      <c r="D27" s="16">
        <v>7.0000000000000001E-3</v>
      </c>
      <c r="E27">
        <f t="shared" si="0"/>
        <v>19683.846001583534</v>
      </c>
      <c r="F27">
        <f t="shared" si="1"/>
        <v>19684</v>
      </c>
      <c r="G27">
        <f t="shared" si="2"/>
        <v>-0.19449999999778811</v>
      </c>
      <c r="I27">
        <f>G27</f>
        <v>-0.19449999999778811</v>
      </c>
      <c r="O27">
        <f t="shared" ca="1" si="3"/>
        <v>-0.2415791353306167</v>
      </c>
      <c r="Q27" s="2">
        <f t="shared" si="4"/>
        <v>35840.826000000001</v>
      </c>
      <c r="R27" s="2"/>
      <c r="S27" s="2"/>
      <c r="T27" s="2"/>
      <c r="AD27">
        <v>6</v>
      </c>
      <c r="AF27" t="s">
        <v>35</v>
      </c>
      <c r="AG27" t="s">
        <v>36</v>
      </c>
      <c r="AH27" t="s">
        <v>31</v>
      </c>
      <c r="AJ27" t="s">
        <v>32</v>
      </c>
    </row>
    <row r="28" spans="1:36" x14ac:dyDescent="0.2">
      <c r="A28" t="s">
        <v>40</v>
      </c>
      <c r="B28" s="5"/>
      <c r="C28" s="16">
        <v>50994.461000000003</v>
      </c>
      <c r="D28" s="16">
        <v>5.0000000000000001E-3</v>
      </c>
      <c r="E28">
        <f t="shared" si="0"/>
        <v>19790.841250989713</v>
      </c>
      <c r="F28">
        <f t="shared" si="1"/>
        <v>19791</v>
      </c>
      <c r="G28">
        <f t="shared" si="2"/>
        <v>-0.20049999999901047</v>
      </c>
      <c r="I28">
        <f>G28</f>
        <v>-0.20049999999901047</v>
      </c>
      <c r="O28">
        <f t="shared" ca="1" si="3"/>
        <v>-0.25548836744655645</v>
      </c>
      <c r="Q28" s="2">
        <f t="shared" si="4"/>
        <v>35975.961000000003</v>
      </c>
      <c r="R28" s="2"/>
      <c r="S28" s="2"/>
      <c r="T28" s="2"/>
      <c r="AD28">
        <v>7</v>
      </c>
      <c r="AF28" t="s">
        <v>35</v>
      </c>
      <c r="AG28" t="s">
        <v>37</v>
      </c>
      <c r="AH28" t="s">
        <v>31</v>
      </c>
      <c r="AJ28" t="s">
        <v>32</v>
      </c>
    </row>
    <row r="29" spans="1:36" x14ac:dyDescent="0.2">
      <c r="A29" s="67" t="s">
        <v>109</v>
      </c>
      <c r="B29" s="68" t="s">
        <v>187</v>
      </c>
      <c r="C29" s="67">
        <v>51166.222000000002</v>
      </c>
      <c r="D29" s="67" t="s">
        <v>60</v>
      </c>
      <c r="E29">
        <f t="shared" ref="E29:E53" si="5">+(C29-C$7)/C$8+0.5</f>
        <v>19927.335708630249</v>
      </c>
      <c r="F29" s="69">
        <f>ROUND(2*E29,0)/2-0.5</f>
        <v>19927</v>
      </c>
      <c r="G29">
        <f t="shared" si="2"/>
        <v>-0.20749999999679858</v>
      </c>
      <c r="I29">
        <f>G29</f>
        <v>-0.20749999999679858</v>
      </c>
      <c r="O29">
        <f t="shared" ca="1" si="3"/>
        <v>-0.27316739144438662</v>
      </c>
      <c r="Q29" s="2">
        <f t="shared" si="4"/>
        <v>36147.722000000002</v>
      </c>
      <c r="R29" s="2"/>
      <c r="S29" s="2"/>
      <c r="T29" s="2"/>
    </row>
    <row r="30" spans="1:36" x14ac:dyDescent="0.2">
      <c r="A30" s="67" t="s">
        <v>113</v>
      </c>
      <c r="B30" s="68" t="s">
        <v>187</v>
      </c>
      <c r="C30" s="67">
        <v>51431.419000000002</v>
      </c>
      <c r="D30" s="67" t="s">
        <v>60</v>
      </c>
      <c r="E30">
        <f t="shared" si="5"/>
        <v>20137.309580364217</v>
      </c>
      <c r="F30" s="69">
        <f>ROUND(2*E30,0)/2-0.5</f>
        <v>20137</v>
      </c>
      <c r="G30">
        <f t="shared" si="2"/>
        <v>-0.24049999999260763</v>
      </c>
      <c r="I30">
        <f>G30</f>
        <v>-0.24049999999260763</v>
      </c>
      <c r="O30">
        <f t="shared" ca="1" si="3"/>
        <v>-0.30046588438221233</v>
      </c>
      <c r="Q30" s="2">
        <f t="shared" si="4"/>
        <v>36412.919000000002</v>
      </c>
      <c r="R30" s="2"/>
      <c r="S30" s="2"/>
      <c r="T30" s="2"/>
    </row>
    <row r="31" spans="1:36" x14ac:dyDescent="0.2">
      <c r="A31" s="67" t="s">
        <v>117</v>
      </c>
      <c r="B31" s="68" t="s">
        <v>187</v>
      </c>
      <c r="C31" s="67">
        <v>51575.339800000002</v>
      </c>
      <c r="D31" s="67" t="s">
        <v>60</v>
      </c>
      <c r="E31">
        <f t="shared" si="5"/>
        <v>20251.26112430721</v>
      </c>
      <c r="F31" s="69">
        <f>ROUND(2*E31,0)/2-0.5</f>
        <v>20251</v>
      </c>
      <c r="G31">
        <f t="shared" si="2"/>
        <v>-0.30169999999634456</v>
      </c>
      <c r="K31">
        <f>G31</f>
        <v>-0.30169999999634456</v>
      </c>
      <c r="O31">
        <f t="shared" ca="1" si="3"/>
        <v>-0.31528506626274622</v>
      </c>
      <c r="Q31" s="2">
        <f t="shared" si="4"/>
        <v>36556.839800000002</v>
      </c>
      <c r="R31" s="2"/>
      <c r="S31" s="2"/>
      <c r="T31" s="2"/>
    </row>
    <row r="32" spans="1:36" x14ac:dyDescent="0.2">
      <c r="A32" s="37" t="s">
        <v>58</v>
      </c>
      <c r="B32" s="38" t="s">
        <v>44</v>
      </c>
      <c r="C32" s="37">
        <v>51758.454960000003</v>
      </c>
      <c r="D32" s="37">
        <v>2.3999999999999998E-3</v>
      </c>
      <c r="E32">
        <f t="shared" si="5"/>
        <v>20396.245415676964</v>
      </c>
      <c r="F32">
        <f t="shared" ref="F32:F53" si="6">ROUND(2*E32,0)/2</f>
        <v>20396</v>
      </c>
      <c r="G32">
        <f t="shared" si="2"/>
        <v>-0.32153999998990912</v>
      </c>
      <c r="K32">
        <f>G32</f>
        <v>-0.32153999998990912</v>
      </c>
      <c r="O32">
        <f t="shared" ca="1" si="3"/>
        <v>-0.33413402567219741</v>
      </c>
      <c r="Q32" s="2">
        <f t="shared" si="4"/>
        <v>36739.954960000003</v>
      </c>
      <c r="R32" s="2"/>
      <c r="S32" s="2"/>
      <c r="T32" s="2"/>
    </row>
    <row r="33" spans="1:21" x14ac:dyDescent="0.2">
      <c r="A33" s="37" t="s">
        <v>58</v>
      </c>
      <c r="B33" s="38" t="s">
        <v>44</v>
      </c>
      <c r="C33" s="37">
        <v>51782.446889999999</v>
      </c>
      <c r="D33" s="37">
        <v>4.0000000000000001E-3</v>
      </c>
      <c r="E33">
        <f t="shared" si="5"/>
        <v>20415.241401425181</v>
      </c>
      <c r="F33">
        <f t="shared" si="6"/>
        <v>20415</v>
      </c>
      <c r="G33">
        <f t="shared" si="2"/>
        <v>-0.32660999999643536</v>
      </c>
      <c r="K33">
        <f>G33</f>
        <v>-0.32660999999643536</v>
      </c>
      <c r="O33">
        <f t="shared" ca="1" si="3"/>
        <v>-0.33660388931895291</v>
      </c>
      <c r="Q33" s="2">
        <f t="shared" si="4"/>
        <v>36763.946889999999</v>
      </c>
      <c r="R33" s="2"/>
      <c r="S33" s="2"/>
      <c r="T33" s="2"/>
    </row>
    <row r="34" spans="1:21" x14ac:dyDescent="0.2">
      <c r="A34" s="67" t="s">
        <v>131</v>
      </c>
      <c r="B34" s="68" t="s">
        <v>44</v>
      </c>
      <c r="C34" s="67">
        <v>51811.495000000003</v>
      </c>
      <c r="D34" s="67" t="s">
        <v>60</v>
      </c>
      <c r="E34">
        <f t="shared" si="5"/>
        <v>20438.240696753764</v>
      </c>
      <c r="F34">
        <f t="shared" si="6"/>
        <v>20438</v>
      </c>
      <c r="G34">
        <f t="shared" si="2"/>
        <v>-0.32749999999214197</v>
      </c>
      <c r="K34">
        <f>G34</f>
        <v>-0.32749999999214197</v>
      </c>
      <c r="O34">
        <f t="shared" ca="1" si="3"/>
        <v>-0.3395937242597622</v>
      </c>
      <c r="Q34" s="2">
        <f t="shared" si="4"/>
        <v>36792.995000000003</v>
      </c>
      <c r="R34" s="2"/>
      <c r="S34" s="2"/>
      <c r="T34" s="2"/>
    </row>
    <row r="35" spans="1:21" x14ac:dyDescent="0.2">
      <c r="A35" s="37" t="s">
        <v>58</v>
      </c>
      <c r="B35" s="38" t="s">
        <v>44</v>
      </c>
      <c r="C35" s="37">
        <v>52219.386270000003</v>
      </c>
      <c r="D35" s="37">
        <v>1.5E-3</v>
      </c>
      <c r="E35">
        <f t="shared" si="5"/>
        <v>20761.19498812352</v>
      </c>
      <c r="F35">
        <f t="shared" si="6"/>
        <v>20761</v>
      </c>
      <c r="G35">
        <f t="shared" si="2"/>
        <v>-0.385229999992589</v>
      </c>
      <c r="K35">
        <f>G35</f>
        <v>-0.385229999992589</v>
      </c>
      <c r="O35">
        <f t="shared" ca="1" si="3"/>
        <v>-0.38158140625460835</v>
      </c>
      <c r="Q35" s="2">
        <f t="shared" si="4"/>
        <v>37200.886270000003</v>
      </c>
      <c r="R35" s="2"/>
      <c r="S35" s="2"/>
      <c r="T35" s="2"/>
    </row>
    <row r="36" spans="1:21" x14ac:dyDescent="0.2">
      <c r="A36" s="37" t="s">
        <v>58</v>
      </c>
      <c r="B36" s="38" t="s">
        <v>44</v>
      </c>
      <c r="C36" s="37">
        <v>52425.36</v>
      </c>
      <c r="D36" s="37" t="s">
        <v>60</v>
      </c>
      <c r="E36">
        <f t="shared" si="5"/>
        <v>20924.277909738721</v>
      </c>
      <c r="F36">
        <f t="shared" si="6"/>
        <v>20924.5</v>
      </c>
      <c r="O36">
        <f t="shared" ca="1" si="3"/>
        <v>-0.40283523289905876</v>
      </c>
      <c r="Q36" s="2">
        <f t="shared" si="4"/>
        <v>37406.86</v>
      </c>
      <c r="R36" s="2"/>
      <c r="S36" s="2"/>
      <c r="T36" s="2"/>
      <c r="U36" s="13">
        <v>-0.91199999999662396</v>
      </c>
    </row>
    <row r="37" spans="1:21" x14ac:dyDescent="0.2">
      <c r="A37" s="37" t="s">
        <v>58</v>
      </c>
      <c r="B37" s="38" t="s">
        <v>44</v>
      </c>
      <c r="C37" s="37">
        <v>52438.440999999999</v>
      </c>
      <c r="D37" s="37" t="s">
        <v>60</v>
      </c>
      <c r="E37">
        <f t="shared" si="5"/>
        <v>20934.634996041172</v>
      </c>
      <c r="F37">
        <f t="shared" si="6"/>
        <v>20934.5</v>
      </c>
      <c r="G37">
        <f>+C37-(C$7+F37*C$8)</f>
        <v>-0.46100000000296859</v>
      </c>
      <c r="K37">
        <f>G37</f>
        <v>-0.46100000000296859</v>
      </c>
      <c r="O37">
        <f t="shared" ca="1" si="3"/>
        <v>-0.40413516113419323</v>
      </c>
      <c r="Q37" s="2">
        <f t="shared" si="4"/>
        <v>37419.940999999999</v>
      </c>
      <c r="R37" s="2"/>
      <c r="S37" s="2"/>
      <c r="T37" s="2"/>
      <c r="U37" s="13"/>
    </row>
    <row r="38" spans="1:21" x14ac:dyDescent="0.2">
      <c r="A38" s="37" t="s">
        <v>58</v>
      </c>
      <c r="B38" s="38" t="s">
        <v>44</v>
      </c>
      <c r="C38" s="37">
        <v>52456.40999</v>
      </c>
      <c r="D38" s="37" t="s">
        <v>60</v>
      </c>
      <c r="E38">
        <f t="shared" si="5"/>
        <v>20948.862224861445</v>
      </c>
      <c r="F38">
        <f t="shared" si="6"/>
        <v>20949</v>
      </c>
      <c r="O38">
        <f t="shared" ca="1" si="3"/>
        <v>-0.40602005707513822</v>
      </c>
      <c r="Q38" s="2">
        <f t="shared" si="4"/>
        <v>37437.90999</v>
      </c>
      <c r="R38" s="2"/>
      <c r="S38" s="2"/>
      <c r="T38" s="2"/>
      <c r="U38" s="13">
        <v>-0.80550999999832129</v>
      </c>
    </row>
    <row r="39" spans="1:21" x14ac:dyDescent="0.2">
      <c r="A39" s="67" t="s">
        <v>138</v>
      </c>
      <c r="B39" s="68" t="s">
        <v>44</v>
      </c>
      <c r="C39" s="67">
        <v>52503.523699999998</v>
      </c>
      <c r="D39" s="67" t="s">
        <v>60</v>
      </c>
      <c r="E39">
        <f t="shared" si="5"/>
        <v>20986.165241488521</v>
      </c>
      <c r="F39">
        <f t="shared" si="6"/>
        <v>20986</v>
      </c>
      <c r="G39">
        <f t="shared" ref="G39:G44" si="7">+C39-(C$7+F39*C$8)</f>
        <v>-0.4228000000002794</v>
      </c>
      <c r="K39">
        <f>G39</f>
        <v>-0.4228000000002794</v>
      </c>
      <c r="O39">
        <f t="shared" ca="1" si="3"/>
        <v>-0.41082979154513621</v>
      </c>
      <c r="Q39" s="2">
        <f t="shared" si="4"/>
        <v>37485.023699999998</v>
      </c>
      <c r="R39" s="2"/>
      <c r="S39" s="2"/>
      <c r="T39" s="2"/>
    </row>
    <row r="40" spans="1:21" x14ac:dyDescent="0.2">
      <c r="A40" s="35" t="s">
        <v>57</v>
      </c>
      <c r="B40" s="39" t="s">
        <v>44</v>
      </c>
      <c r="C40" s="35">
        <v>52532.580999999998</v>
      </c>
      <c r="D40" s="35">
        <v>3.0000000000000001E-3</v>
      </c>
      <c r="E40">
        <f t="shared" si="5"/>
        <v>21009.171813143312</v>
      </c>
      <c r="F40">
        <f t="shared" si="6"/>
        <v>21009</v>
      </c>
      <c r="G40">
        <f t="shared" si="7"/>
        <v>-0.41449999999895226</v>
      </c>
      <c r="I40">
        <f>G40</f>
        <v>-0.41449999999895226</v>
      </c>
      <c r="O40">
        <f t="shared" ca="1" si="3"/>
        <v>-0.4138196264859455</v>
      </c>
      <c r="Q40" s="2">
        <f t="shared" si="4"/>
        <v>37514.080999999998</v>
      </c>
      <c r="R40" s="2"/>
      <c r="S40" s="2"/>
      <c r="T40" s="2"/>
    </row>
    <row r="41" spans="1:21" x14ac:dyDescent="0.2">
      <c r="A41" s="40" t="s">
        <v>43</v>
      </c>
      <c r="B41" s="39" t="s">
        <v>44</v>
      </c>
      <c r="C41" s="35">
        <v>52878.59</v>
      </c>
      <c r="D41" s="41">
        <v>5.0000000000000001E-3</v>
      </c>
      <c r="E41">
        <f t="shared" si="5"/>
        <v>21283.129849564528</v>
      </c>
      <c r="F41">
        <f t="shared" si="6"/>
        <v>21283</v>
      </c>
      <c r="G41">
        <f t="shared" si="7"/>
        <v>-0.46749999999883585</v>
      </c>
      <c r="K41">
        <f>G41</f>
        <v>-0.46749999999883585</v>
      </c>
      <c r="O41">
        <f t="shared" ca="1" si="3"/>
        <v>-0.44943766012863229</v>
      </c>
      <c r="Q41" s="2">
        <f t="shared" si="4"/>
        <v>37860.089999999997</v>
      </c>
      <c r="R41" s="2"/>
      <c r="S41" s="2"/>
      <c r="T41" s="2"/>
    </row>
    <row r="42" spans="1:21" x14ac:dyDescent="0.2">
      <c r="A42" s="49" t="s">
        <v>64</v>
      </c>
      <c r="B42" s="50" t="s">
        <v>44</v>
      </c>
      <c r="C42" s="49">
        <v>53233.442999999999</v>
      </c>
      <c r="D42" s="49">
        <v>6.0000000000000001E-3</v>
      </c>
      <c r="E42">
        <f t="shared" si="5"/>
        <v>21564.090261282661</v>
      </c>
      <c r="F42">
        <f t="shared" si="6"/>
        <v>21564</v>
      </c>
      <c r="G42">
        <f t="shared" si="7"/>
        <v>-0.51750000000174623</v>
      </c>
      <c r="K42">
        <f>G42</f>
        <v>-0.51750000000174623</v>
      </c>
      <c r="O42">
        <f t="shared" ca="1" si="3"/>
        <v>-0.48596564353591321</v>
      </c>
      <c r="Q42" s="2">
        <f t="shared" si="4"/>
        <v>38214.942999999999</v>
      </c>
      <c r="R42" s="2"/>
      <c r="S42" s="2"/>
      <c r="T42" s="2"/>
    </row>
    <row r="43" spans="1:21" x14ac:dyDescent="0.2">
      <c r="A43" s="40" t="s">
        <v>49</v>
      </c>
      <c r="B43" s="42"/>
      <c r="C43" s="35">
        <v>53670.379699999998</v>
      </c>
      <c r="D43" s="35">
        <v>1E-3</v>
      </c>
      <c r="E43">
        <f t="shared" si="5"/>
        <v>21910.04172604909</v>
      </c>
      <c r="F43">
        <f t="shared" si="6"/>
        <v>21910</v>
      </c>
      <c r="G43">
        <f t="shared" si="7"/>
        <v>-0.57879999999568099</v>
      </c>
      <c r="J43">
        <f>G43</f>
        <v>-0.57879999999568099</v>
      </c>
      <c r="O43">
        <f t="shared" ca="1" si="3"/>
        <v>-0.53094316047156909</v>
      </c>
      <c r="Q43" s="2">
        <f t="shared" si="4"/>
        <v>38651.879699999998</v>
      </c>
      <c r="R43" s="2"/>
      <c r="S43" s="2"/>
      <c r="T43" s="2"/>
    </row>
    <row r="44" spans="1:21" x14ac:dyDescent="0.2">
      <c r="A44" s="37" t="s">
        <v>58</v>
      </c>
      <c r="B44" s="38" t="s">
        <v>44</v>
      </c>
      <c r="C44" s="37">
        <v>53966.508439999998</v>
      </c>
      <c r="D44" s="37" t="s">
        <v>59</v>
      </c>
      <c r="E44">
        <f t="shared" si="5"/>
        <v>22144.506286619162</v>
      </c>
      <c r="F44">
        <f t="shared" si="6"/>
        <v>22144.5</v>
      </c>
      <c r="G44">
        <f t="shared" si="7"/>
        <v>-0.62355999999999767</v>
      </c>
      <c r="K44">
        <f>G44</f>
        <v>-0.62355999999999767</v>
      </c>
      <c r="O44">
        <f t="shared" ca="1" si="3"/>
        <v>-0.56142647758547426</v>
      </c>
      <c r="Q44" s="2">
        <f t="shared" si="4"/>
        <v>38948.008439999998</v>
      </c>
      <c r="R44" s="2"/>
      <c r="S44" s="2"/>
      <c r="T44" s="2"/>
    </row>
    <row r="45" spans="1:21" x14ac:dyDescent="0.2">
      <c r="A45" s="37" t="s">
        <v>58</v>
      </c>
      <c r="B45" s="38" t="s">
        <v>44</v>
      </c>
      <c r="C45" s="37">
        <v>53993.42729</v>
      </c>
      <c r="D45" s="37" t="s">
        <v>59</v>
      </c>
      <c r="E45">
        <f t="shared" si="5"/>
        <v>22165.819707046718</v>
      </c>
      <c r="F45">
        <f t="shared" si="6"/>
        <v>22166</v>
      </c>
      <c r="O45">
        <f t="shared" ca="1" si="3"/>
        <v>-0.56422132329101382</v>
      </c>
      <c r="Q45" s="2">
        <f t="shared" si="4"/>
        <v>38974.92729</v>
      </c>
      <c r="R45" s="2"/>
      <c r="S45" s="2"/>
      <c r="T45" s="2"/>
      <c r="U45" s="13">
        <v>-0.85921000000234926</v>
      </c>
    </row>
    <row r="46" spans="1:21" x14ac:dyDescent="0.2">
      <c r="A46" s="37" t="s">
        <v>58</v>
      </c>
      <c r="B46" s="38" t="s">
        <v>44</v>
      </c>
      <c r="C46" s="37">
        <v>53997.505850000001</v>
      </c>
      <c r="D46" s="37" t="s">
        <v>59</v>
      </c>
      <c r="E46">
        <f t="shared" si="5"/>
        <v>22169.048970704676</v>
      </c>
      <c r="F46">
        <f t="shared" si="6"/>
        <v>22169</v>
      </c>
      <c r="G46">
        <f t="shared" ref="G46:G53" si="8">+C46-(C$7+F46*C$8)</f>
        <v>-0.56964999999036081</v>
      </c>
      <c r="K46">
        <f>G46</f>
        <v>-0.56964999999036081</v>
      </c>
      <c r="O46">
        <f t="shared" ca="1" si="3"/>
        <v>-0.56461130176155416</v>
      </c>
      <c r="Q46" s="2">
        <f t="shared" si="4"/>
        <v>38979.005850000001</v>
      </c>
      <c r="R46" s="2"/>
      <c r="S46" s="2"/>
      <c r="T46" s="2"/>
    </row>
    <row r="47" spans="1:21" x14ac:dyDescent="0.2">
      <c r="A47" s="67" t="s">
        <v>161</v>
      </c>
      <c r="B47" s="68" t="s">
        <v>44</v>
      </c>
      <c r="C47" s="67">
        <v>55059.5049</v>
      </c>
      <c r="D47" s="67" t="s">
        <v>60</v>
      </c>
      <c r="E47">
        <f t="shared" si="5"/>
        <v>23009.903325415678</v>
      </c>
      <c r="F47">
        <f t="shared" si="6"/>
        <v>23010</v>
      </c>
      <c r="G47">
        <f t="shared" si="8"/>
        <v>-0.75359999999636784</v>
      </c>
      <c r="K47">
        <f>G47</f>
        <v>-0.75359999999636784</v>
      </c>
      <c r="O47">
        <f t="shared" ca="1" si="3"/>
        <v>-0.67393526633637002</v>
      </c>
      <c r="Q47" s="2">
        <f t="shared" si="4"/>
        <v>40041.0049</v>
      </c>
      <c r="R47" s="2"/>
      <c r="S47" s="2"/>
      <c r="T47" s="2"/>
    </row>
    <row r="48" spans="1:21" x14ac:dyDescent="0.2">
      <c r="A48" s="67" t="s">
        <v>161</v>
      </c>
      <c r="B48" s="68" t="s">
        <v>187</v>
      </c>
      <c r="C48" s="67">
        <v>55155.481500000002</v>
      </c>
      <c r="D48" s="67" t="s">
        <v>60</v>
      </c>
      <c r="E48">
        <f t="shared" si="5"/>
        <v>23085.894299287414</v>
      </c>
      <c r="F48">
        <f t="shared" si="6"/>
        <v>23086</v>
      </c>
      <c r="G48">
        <f t="shared" si="8"/>
        <v>-0.76499999999214197</v>
      </c>
      <c r="K48">
        <f>G48</f>
        <v>-0.76499999999214197</v>
      </c>
      <c r="O48">
        <f t="shared" ca="1" si="3"/>
        <v>-0.6838147209233929</v>
      </c>
      <c r="Q48" s="2">
        <f t="shared" si="4"/>
        <v>40136.981500000002</v>
      </c>
      <c r="R48" s="2"/>
      <c r="S48" s="2"/>
      <c r="T48" s="2"/>
    </row>
    <row r="49" spans="1:20" x14ac:dyDescent="0.2">
      <c r="A49" s="46" t="s">
        <v>61</v>
      </c>
      <c r="B49" s="47" t="s">
        <v>44</v>
      </c>
      <c r="C49" s="48">
        <v>55478.762799999997</v>
      </c>
      <c r="D49" s="48">
        <v>2.9999999999999997E-4</v>
      </c>
      <c r="E49">
        <f t="shared" si="5"/>
        <v>23341.857323832144</v>
      </c>
      <c r="F49">
        <f t="shared" si="6"/>
        <v>23342</v>
      </c>
      <c r="G49">
        <f t="shared" si="8"/>
        <v>-0.81169999999838183</v>
      </c>
      <c r="K49">
        <f>G49</f>
        <v>-0.81169999999838183</v>
      </c>
      <c r="O49">
        <f t="shared" ca="1" si="3"/>
        <v>-0.71709288374283764</v>
      </c>
      <c r="Q49" s="2">
        <f t="shared" si="4"/>
        <v>40460.262799999997</v>
      </c>
      <c r="R49" s="2"/>
      <c r="S49" s="2"/>
      <c r="T49" s="2"/>
    </row>
    <row r="50" spans="1:20" x14ac:dyDescent="0.2">
      <c r="A50" s="52" t="s">
        <v>68</v>
      </c>
      <c r="B50" s="52"/>
      <c r="C50" s="53">
        <v>55491.391600000003</v>
      </c>
      <c r="D50" s="53">
        <v>4.3E-3</v>
      </c>
      <c r="E50">
        <f t="shared" si="5"/>
        <v>23351.856373713385</v>
      </c>
      <c r="F50">
        <f t="shared" si="6"/>
        <v>23352</v>
      </c>
      <c r="G50">
        <f t="shared" si="8"/>
        <v>-0.81289999998989515</v>
      </c>
      <c r="J50">
        <f>G50</f>
        <v>-0.81289999998989515</v>
      </c>
      <c r="O50">
        <f t="shared" ca="1" si="3"/>
        <v>-0.71839281197797211</v>
      </c>
      <c r="Q50" s="2">
        <f t="shared" si="4"/>
        <v>40472.891600000003</v>
      </c>
      <c r="R50" s="2"/>
      <c r="S50" s="2"/>
      <c r="T50" s="2"/>
    </row>
    <row r="51" spans="1:20" x14ac:dyDescent="0.2">
      <c r="A51" s="49" t="s">
        <v>65</v>
      </c>
      <c r="B51" s="50" t="s">
        <v>44</v>
      </c>
      <c r="C51" s="49">
        <v>55910.6558</v>
      </c>
      <c r="D51" s="49">
        <v>5.0000000000000001E-4</v>
      </c>
      <c r="E51">
        <f t="shared" si="5"/>
        <v>23683.815360253368</v>
      </c>
      <c r="F51">
        <f t="shared" si="6"/>
        <v>23684</v>
      </c>
      <c r="G51">
        <f t="shared" si="8"/>
        <v>-0.86469999999826541</v>
      </c>
      <c r="K51">
        <f>G51</f>
        <v>-0.86469999999826541</v>
      </c>
      <c r="O51">
        <f t="shared" ca="1" si="3"/>
        <v>-0.76155042938443929</v>
      </c>
      <c r="Q51" s="2">
        <f t="shared" si="4"/>
        <v>40892.1558</v>
      </c>
      <c r="R51" s="2"/>
      <c r="S51" s="2"/>
      <c r="T51" s="2"/>
    </row>
    <row r="52" spans="1:20" x14ac:dyDescent="0.2">
      <c r="A52" s="67" t="s">
        <v>66</v>
      </c>
      <c r="B52" s="68" t="s">
        <v>44</v>
      </c>
      <c r="C52" s="67">
        <v>56261.722000000002</v>
      </c>
      <c r="D52" s="67" t="s">
        <v>60</v>
      </c>
      <c r="E52">
        <f t="shared" si="5"/>
        <v>23961.777513855901</v>
      </c>
      <c r="F52">
        <f t="shared" si="6"/>
        <v>23962</v>
      </c>
      <c r="G52">
        <f t="shared" si="8"/>
        <v>-0.91249999999854481</v>
      </c>
      <c r="K52">
        <f>G52</f>
        <v>-0.91249999999854481</v>
      </c>
      <c r="O52">
        <f t="shared" ca="1" si="3"/>
        <v>-0.79768843432117986</v>
      </c>
      <c r="Q52" s="2">
        <f t="shared" si="4"/>
        <v>41243.222000000002</v>
      </c>
      <c r="R52" s="2"/>
      <c r="S52" s="2"/>
      <c r="T52" s="2"/>
    </row>
    <row r="53" spans="1:20" x14ac:dyDescent="0.2">
      <c r="A53" s="43" t="s">
        <v>66</v>
      </c>
      <c r="B53" s="44" t="s">
        <v>44</v>
      </c>
      <c r="C53" s="45">
        <v>56261.722999999998</v>
      </c>
      <c r="D53" s="45">
        <v>3.0000000000000003E-4</v>
      </c>
      <c r="E53">
        <f t="shared" si="5"/>
        <v>23961.778305621538</v>
      </c>
      <c r="F53">
        <f t="shared" si="6"/>
        <v>23962</v>
      </c>
      <c r="G53">
        <f t="shared" si="8"/>
        <v>-0.91150000000197906</v>
      </c>
      <c r="K53">
        <f>G53</f>
        <v>-0.91150000000197906</v>
      </c>
      <c r="O53">
        <f t="shared" ca="1" si="3"/>
        <v>-0.79768843432117986</v>
      </c>
      <c r="Q53" s="2">
        <f t="shared" si="4"/>
        <v>41243.222999999998</v>
      </c>
      <c r="R53" s="2"/>
      <c r="S53" s="2"/>
      <c r="T53" s="2"/>
    </row>
    <row r="54" spans="1:20" x14ac:dyDescent="0.2">
      <c r="A54" s="70" t="s">
        <v>188</v>
      </c>
      <c r="B54" s="71" t="s">
        <v>187</v>
      </c>
      <c r="C54" s="72">
        <v>59275.495799999997</v>
      </c>
      <c r="D54" s="70">
        <v>2.9999999999999997E-4</v>
      </c>
      <c r="E54">
        <f t="shared" ref="E54" si="9">+(C54-C$7)/C$8+0.5</f>
        <v>26347.980047505938</v>
      </c>
      <c r="F54">
        <f t="shared" ref="F54" si="10">ROUND(2*E54,0)/2</f>
        <v>26348</v>
      </c>
      <c r="G54">
        <f t="shared" ref="G54" si="11">+C54-(C$7+F54*C$8)</f>
        <v>-0.65669999999954598</v>
      </c>
      <c r="K54">
        <f>G54</f>
        <v>-0.65669999999954598</v>
      </c>
      <c r="O54">
        <f t="shared" ref="O54" ca="1" si="12">+C$11+C$12*F54</f>
        <v>-1.1078513112242847</v>
      </c>
      <c r="Q54" s="2">
        <f t="shared" ref="Q54" si="13">+C54-15018.5</f>
        <v>44256.995799999997</v>
      </c>
    </row>
    <row r="55" spans="1:20" x14ac:dyDescent="0.2">
      <c r="B55" s="5"/>
    </row>
    <row r="56" spans="1:20" x14ac:dyDescent="0.2">
      <c r="B56" s="5"/>
    </row>
    <row r="57" spans="1:20" x14ac:dyDescent="0.2">
      <c r="B57" s="5"/>
    </row>
    <row r="58" spans="1:20" x14ac:dyDescent="0.2">
      <c r="B58" s="5"/>
    </row>
    <row r="59" spans="1:20" x14ac:dyDescent="0.2">
      <c r="B59" s="5"/>
    </row>
    <row r="60" spans="1:20" x14ac:dyDescent="0.2">
      <c r="B60" s="5"/>
    </row>
    <row r="61" spans="1:20" x14ac:dyDescent="0.2">
      <c r="B61" s="5"/>
    </row>
    <row r="62" spans="1:20" x14ac:dyDescent="0.2">
      <c r="B62" s="5"/>
    </row>
    <row r="63" spans="1:20" x14ac:dyDescent="0.2">
      <c r="B63" s="5"/>
    </row>
    <row r="64" spans="1:20" x14ac:dyDescent="0.2">
      <c r="B64" s="5"/>
    </row>
    <row r="65" spans="2:2" x14ac:dyDescent="0.2">
      <c r="B65" s="5"/>
    </row>
    <row r="66" spans="2:2" x14ac:dyDescent="0.2">
      <c r="B66" s="5"/>
    </row>
    <row r="67" spans="2:2" x14ac:dyDescent="0.2">
      <c r="B67" s="5"/>
    </row>
    <row r="68" spans="2:2" x14ac:dyDescent="0.2">
      <c r="B68" s="5"/>
    </row>
    <row r="69" spans="2:2" x14ac:dyDescent="0.2">
      <c r="B69" s="5"/>
    </row>
    <row r="70" spans="2:2" x14ac:dyDescent="0.2">
      <c r="B70" s="5"/>
    </row>
    <row r="71" spans="2:2" x14ac:dyDescent="0.2">
      <c r="B71" s="5"/>
    </row>
    <row r="72" spans="2:2" x14ac:dyDescent="0.2">
      <c r="B72" s="5"/>
    </row>
    <row r="73" spans="2:2" x14ac:dyDescent="0.2">
      <c r="B73" s="5"/>
    </row>
    <row r="74" spans="2:2" x14ac:dyDescent="0.2">
      <c r="B74" s="5"/>
    </row>
    <row r="75" spans="2:2" x14ac:dyDescent="0.2">
      <c r="B75" s="5"/>
    </row>
    <row r="76" spans="2:2" x14ac:dyDescent="0.2">
      <c r="B76" s="5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8"/>
  <sheetViews>
    <sheetView workbookViewId="0">
      <selection activeCell="C9" sqref="C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47</v>
      </c>
    </row>
    <row r="2" spans="1:7" x14ac:dyDescent="0.2">
      <c r="A2" t="s">
        <v>25</v>
      </c>
      <c r="B2" t="s">
        <v>48</v>
      </c>
    </row>
    <row r="4" spans="1:7" x14ac:dyDescent="0.2">
      <c r="A4" s="7" t="s">
        <v>0</v>
      </c>
      <c r="C4" s="3">
        <v>25999.26</v>
      </c>
      <c r="D4" s="4">
        <v>1.895</v>
      </c>
    </row>
    <row r="6" spans="1:7" x14ac:dyDescent="0.2">
      <c r="A6" s="7" t="s">
        <v>1</v>
      </c>
    </row>
    <row r="7" spans="1:7" x14ac:dyDescent="0.2">
      <c r="A7" t="s">
        <v>2</v>
      </c>
      <c r="C7">
        <f>+D7-C8/2</f>
        <v>25998.628499999999</v>
      </c>
      <c r="D7" s="11">
        <v>25999.26</v>
      </c>
    </row>
    <row r="8" spans="1:7" x14ac:dyDescent="0.2">
      <c r="A8" t="s">
        <v>3</v>
      </c>
      <c r="C8">
        <v>1.2629999999999999</v>
      </c>
    </row>
    <row r="9" spans="1:7" x14ac:dyDescent="0.2">
      <c r="A9" s="17" t="s">
        <v>50</v>
      </c>
      <c r="B9" s="12"/>
      <c r="C9" s="18">
        <v>8</v>
      </c>
      <c r="D9" s="12" t="s">
        <v>51</v>
      </c>
      <c r="E9" s="12"/>
    </row>
    <row r="10" spans="1:7" ht="13.5" thickBot="1" x14ac:dyDescent="0.25">
      <c r="A10" s="12"/>
      <c r="B10" s="12"/>
      <c r="C10" s="6" t="s">
        <v>21</v>
      </c>
      <c r="D10" s="6" t="s">
        <v>22</v>
      </c>
      <c r="E10" s="12"/>
    </row>
    <row r="11" spans="1:7" x14ac:dyDescent="0.2">
      <c r="A11" s="12" t="s">
        <v>16</v>
      </c>
      <c r="B11" s="12"/>
      <c r="C11" s="19">
        <f ca="1">INTERCEPT(INDIRECT($G$11):G992,INDIRECT($F$11):F992)</f>
        <v>-3.2161703937274098</v>
      </c>
      <c r="D11" s="5"/>
      <c r="E11" s="12"/>
      <c r="F11" s="20" t="str">
        <f>"F"&amp;E19</f>
        <v>F22</v>
      </c>
      <c r="G11" s="13" t="str">
        <f>"G"&amp;E19</f>
        <v>G22</v>
      </c>
    </row>
    <row r="12" spans="1:7" x14ac:dyDescent="0.2">
      <c r="A12" s="12" t="s">
        <v>17</v>
      </c>
      <c r="B12" s="12"/>
      <c r="C12" s="19">
        <f ca="1">SLOPE(INDIRECT($G$11):G992,INDIRECT($F$11):F992)</f>
        <v>1.5428407969169598E-4</v>
      </c>
      <c r="D12" s="5"/>
      <c r="E12" s="12"/>
    </row>
    <row r="13" spans="1:7" x14ac:dyDescent="0.2">
      <c r="A13" s="12" t="s">
        <v>20</v>
      </c>
      <c r="B13" s="12"/>
      <c r="C13" s="5" t="s">
        <v>14</v>
      </c>
      <c r="D13" s="5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21" t="s">
        <v>18</v>
      </c>
      <c r="B15" s="12"/>
      <c r="C15" s="22">
        <f ca="1">(C7+C11)+(C8+C12)*INT(MAX(F21:F3533))</f>
        <v>53669.859539508238</v>
      </c>
      <c r="D15" s="23" t="s">
        <v>52</v>
      </c>
      <c r="E15" s="24">
        <f ca="1">TODAY()+15018.5-B9/24</f>
        <v>59948.5</v>
      </c>
    </row>
    <row r="16" spans="1:7" x14ac:dyDescent="0.2">
      <c r="A16" s="25" t="s">
        <v>4</v>
      </c>
      <c r="B16" s="12"/>
      <c r="C16" s="26">
        <f ca="1">+C8+C12</f>
        <v>1.2631542840796917</v>
      </c>
      <c r="D16" s="23" t="s">
        <v>53</v>
      </c>
      <c r="E16" s="24">
        <f ca="1">ROUND(2*(E15-C15)/C16,0)/2+1</f>
        <v>4971.5</v>
      </c>
    </row>
    <row r="17" spans="1:33" ht="13.5" thickBot="1" x14ac:dyDescent="0.25">
      <c r="A17" s="23" t="s">
        <v>46</v>
      </c>
      <c r="B17" s="12"/>
      <c r="C17" s="12">
        <f>COUNT(C21:C2191)</f>
        <v>11</v>
      </c>
      <c r="D17" s="23" t="s">
        <v>54</v>
      </c>
      <c r="E17" s="27">
        <f ca="1">+C15+C16*E16-15018.5-C9/24</f>
        <v>44930.79772947709</v>
      </c>
    </row>
    <row r="18" spans="1:33" x14ac:dyDescent="0.2">
      <c r="A18" s="25" t="s">
        <v>5</v>
      </c>
      <c r="B18" s="12"/>
      <c r="C18" s="28">
        <f ca="1">+C15</f>
        <v>53669.859539508238</v>
      </c>
      <c r="D18" s="29">
        <f ca="1">+C16</f>
        <v>1.2631542840796917</v>
      </c>
      <c r="E18" s="30" t="s">
        <v>55</v>
      </c>
    </row>
    <row r="19" spans="1:33" ht="13.5" thickTop="1" x14ac:dyDescent="0.2">
      <c r="A19" s="31" t="s">
        <v>56</v>
      </c>
      <c r="E19" s="32">
        <v>22</v>
      </c>
    </row>
    <row r="20" spans="1:33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12</v>
      </c>
      <c r="I20" s="9" t="s">
        <v>31</v>
      </c>
      <c r="J20" s="9" t="s">
        <v>42</v>
      </c>
      <c r="K20" s="9" t="s">
        <v>19</v>
      </c>
      <c r="L20" s="9" t="s">
        <v>26</v>
      </c>
      <c r="M20" s="9" t="s">
        <v>27</v>
      </c>
      <c r="N20" s="9" t="s">
        <v>28</v>
      </c>
      <c r="O20" s="9" t="s">
        <v>24</v>
      </c>
      <c r="P20" s="8" t="s">
        <v>23</v>
      </c>
      <c r="Q20" s="6" t="s">
        <v>15</v>
      </c>
    </row>
    <row r="21" spans="1:33" x14ac:dyDescent="0.2">
      <c r="A21" t="s">
        <v>12</v>
      </c>
      <c r="C21" s="16">
        <v>25999.26</v>
      </c>
      <c r="D21" s="16" t="s">
        <v>14</v>
      </c>
      <c r="E21">
        <f t="shared" ref="E21:E31" si="0">+(C21-C$7)/C$8</f>
        <v>0.49999999999960831</v>
      </c>
      <c r="F21" s="10">
        <v>-0.5</v>
      </c>
      <c r="G21">
        <f t="shared" ref="G21:G29" si="1">+C21-(C$7+F21*C$8)</f>
        <v>1.2629999999990105</v>
      </c>
      <c r="H21">
        <f>+G21</f>
        <v>1.2629999999990105</v>
      </c>
      <c r="O21">
        <f t="shared" ref="O21:O31" ca="1" si="2">+C$11+C$12*F21</f>
        <v>-3.2162475357672555</v>
      </c>
      <c r="Q21" s="2">
        <f t="shared" ref="Q21:Q31" si="3">+C21-15018.5</f>
        <v>10980.759999999998</v>
      </c>
    </row>
    <row r="22" spans="1:33" x14ac:dyDescent="0.2">
      <c r="A22" t="s">
        <v>38</v>
      </c>
      <c r="C22" s="16">
        <v>50710.297299999998</v>
      </c>
      <c r="D22" s="16">
        <v>2.0000000000000001E-4</v>
      </c>
      <c r="E22">
        <f t="shared" si="0"/>
        <v>19565.85019794141</v>
      </c>
      <c r="F22">
        <f t="shared" ref="F22:F31" si="4">ROUND(2*E22,0)/2</f>
        <v>19566</v>
      </c>
      <c r="G22">
        <f t="shared" si="1"/>
        <v>-0.18920000000071013</v>
      </c>
      <c r="I22">
        <f>G22</f>
        <v>-0.18920000000071013</v>
      </c>
      <c r="O22">
        <f t="shared" ca="1" si="2"/>
        <v>-0.19744809047968603</v>
      </c>
      <c r="Q22" s="2">
        <f t="shared" si="3"/>
        <v>35691.797299999998</v>
      </c>
      <c r="AA22">
        <v>19</v>
      </c>
      <c r="AC22" t="s">
        <v>29</v>
      </c>
      <c r="AD22" t="s">
        <v>30</v>
      </c>
      <c r="AE22" t="s">
        <v>31</v>
      </c>
      <c r="AG22" t="s">
        <v>32</v>
      </c>
    </row>
    <row r="23" spans="1:33" x14ac:dyDescent="0.2">
      <c r="A23" t="s">
        <v>41</v>
      </c>
      <c r="C23" s="16">
        <v>50710.297299999998</v>
      </c>
      <c r="D23" s="16"/>
      <c r="E23">
        <f t="shared" si="0"/>
        <v>19565.85019794141</v>
      </c>
      <c r="F23">
        <f t="shared" si="4"/>
        <v>19566</v>
      </c>
      <c r="G23">
        <f t="shared" si="1"/>
        <v>-0.18920000000071013</v>
      </c>
      <c r="J23">
        <f>G23</f>
        <v>-0.18920000000071013</v>
      </c>
      <c r="O23">
        <f t="shared" ca="1" si="2"/>
        <v>-0.19744809047968603</v>
      </c>
      <c r="Q23" s="2">
        <f t="shared" si="3"/>
        <v>35691.797299999998</v>
      </c>
    </row>
    <row r="24" spans="1:33" x14ac:dyDescent="0.2">
      <c r="A24" t="s">
        <v>38</v>
      </c>
      <c r="C24" s="16">
        <v>50754.503100000002</v>
      </c>
      <c r="D24" s="16">
        <v>1E-3</v>
      </c>
      <c r="E24">
        <f t="shared" si="0"/>
        <v>19600.850831353924</v>
      </c>
      <c r="F24">
        <f t="shared" si="4"/>
        <v>19601</v>
      </c>
      <c r="G24">
        <f t="shared" si="1"/>
        <v>-0.18839999999909196</v>
      </c>
      <c r="I24">
        <f>G24</f>
        <v>-0.18839999999909196</v>
      </c>
      <c r="O24">
        <f t="shared" ca="1" si="2"/>
        <v>-0.19204814769047696</v>
      </c>
      <c r="Q24" s="2">
        <f t="shared" si="3"/>
        <v>35736.003100000002</v>
      </c>
      <c r="AA24">
        <v>46</v>
      </c>
      <c r="AC24" t="s">
        <v>33</v>
      </c>
      <c r="AD24" t="s">
        <v>34</v>
      </c>
      <c r="AE24" t="s">
        <v>31</v>
      </c>
      <c r="AG24" t="s">
        <v>32</v>
      </c>
    </row>
    <row r="25" spans="1:33" x14ac:dyDescent="0.2">
      <c r="A25" t="s">
        <v>39</v>
      </c>
      <c r="C25" s="16">
        <v>50854.2673</v>
      </c>
      <c r="D25" s="16">
        <v>8.0000000000000004E-4</v>
      </c>
      <c r="E25">
        <f t="shared" si="0"/>
        <v>19679.840696753763</v>
      </c>
      <c r="F25">
        <f t="shared" si="4"/>
        <v>19680</v>
      </c>
      <c r="G25">
        <f t="shared" si="1"/>
        <v>-0.2011999999958789</v>
      </c>
      <c r="I25">
        <f>G25</f>
        <v>-0.2011999999958789</v>
      </c>
      <c r="O25">
        <f t="shared" ca="1" si="2"/>
        <v>-0.17985970539483276</v>
      </c>
      <c r="Q25" s="2">
        <f t="shared" si="3"/>
        <v>35835.7673</v>
      </c>
      <c r="AA25">
        <v>28</v>
      </c>
      <c r="AC25" t="s">
        <v>33</v>
      </c>
      <c r="AD25" t="s">
        <v>34</v>
      </c>
      <c r="AE25" t="s">
        <v>31</v>
      </c>
      <c r="AG25" t="s">
        <v>32</v>
      </c>
    </row>
    <row r="26" spans="1:33" x14ac:dyDescent="0.2">
      <c r="A26" t="s">
        <v>39</v>
      </c>
      <c r="C26" s="16">
        <v>50859.315000000002</v>
      </c>
      <c r="D26" s="16">
        <v>6.9999999999999999E-4</v>
      </c>
      <c r="E26">
        <f t="shared" si="0"/>
        <v>19683.837292161523</v>
      </c>
      <c r="F26">
        <f t="shared" si="4"/>
        <v>19684</v>
      </c>
      <c r="G26">
        <f t="shared" si="1"/>
        <v>-0.20549999999639113</v>
      </c>
      <c r="I26">
        <f>G26</f>
        <v>-0.20549999999639113</v>
      </c>
      <c r="O26">
        <f t="shared" ca="1" si="2"/>
        <v>-0.17924256907606617</v>
      </c>
      <c r="Q26" s="2">
        <f t="shared" si="3"/>
        <v>35840.815000000002</v>
      </c>
      <c r="AA26">
        <v>15</v>
      </c>
      <c r="AC26" t="s">
        <v>29</v>
      </c>
      <c r="AD26" t="s">
        <v>30</v>
      </c>
      <c r="AE26" t="s">
        <v>31</v>
      </c>
      <c r="AG26" t="s">
        <v>32</v>
      </c>
    </row>
    <row r="27" spans="1:33" x14ac:dyDescent="0.2">
      <c r="A27" t="s">
        <v>39</v>
      </c>
      <c r="C27" s="16">
        <v>50859.326000000001</v>
      </c>
      <c r="D27" s="16">
        <v>7.0000000000000001E-3</v>
      </c>
      <c r="E27">
        <f t="shared" si="0"/>
        <v>19683.846001583534</v>
      </c>
      <c r="F27">
        <f t="shared" si="4"/>
        <v>19684</v>
      </c>
      <c r="G27">
        <f t="shared" si="1"/>
        <v>-0.19449999999778811</v>
      </c>
      <c r="I27">
        <f>G27</f>
        <v>-0.19449999999778811</v>
      </c>
      <c r="O27">
        <f t="shared" ca="1" si="2"/>
        <v>-0.17924256907606617</v>
      </c>
      <c r="Q27" s="2">
        <f t="shared" si="3"/>
        <v>35840.826000000001</v>
      </c>
      <c r="AA27">
        <v>6</v>
      </c>
      <c r="AC27" t="s">
        <v>35</v>
      </c>
      <c r="AD27" t="s">
        <v>36</v>
      </c>
      <c r="AE27" t="s">
        <v>31</v>
      </c>
      <c r="AG27" t="s">
        <v>32</v>
      </c>
    </row>
    <row r="28" spans="1:33" x14ac:dyDescent="0.2">
      <c r="A28" t="s">
        <v>40</v>
      </c>
      <c r="C28" s="16">
        <v>50994.461000000003</v>
      </c>
      <c r="D28" s="16">
        <v>5.0000000000000001E-3</v>
      </c>
      <c r="E28">
        <f t="shared" si="0"/>
        <v>19790.841250989713</v>
      </c>
      <c r="F28">
        <f t="shared" si="4"/>
        <v>19791</v>
      </c>
      <c r="G28">
        <f t="shared" si="1"/>
        <v>-0.20049999999901047</v>
      </c>
      <c r="I28">
        <f>G28</f>
        <v>-0.20049999999901047</v>
      </c>
      <c r="O28">
        <f t="shared" ca="1" si="2"/>
        <v>-0.16273417254905453</v>
      </c>
      <c r="Q28" s="2">
        <f t="shared" si="3"/>
        <v>35975.961000000003</v>
      </c>
      <c r="AA28">
        <v>7</v>
      </c>
      <c r="AC28" t="s">
        <v>35</v>
      </c>
      <c r="AD28" t="s">
        <v>37</v>
      </c>
      <c r="AE28" t="s">
        <v>31</v>
      </c>
      <c r="AG28" t="s">
        <v>32</v>
      </c>
    </row>
    <row r="29" spans="1:33" x14ac:dyDescent="0.2">
      <c r="A29" s="33" t="s">
        <v>57</v>
      </c>
      <c r="B29" s="34" t="s">
        <v>44</v>
      </c>
      <c r="C29" s="35">
        <v>52532.580999999998</v>
      </c>
      <c r="D29" s="35">
        <v>3.0000000000000001E-3</v>
      </c>
      <c r="E29">
        <f t="shared" si="0"/>
        <v>21008.671813143312</v>
      </c>
      <c r="F29">
        <f t="shared" si="4"/>
        <v>21008.5</v>
      </c>
      <c r="G29">
        <f t="shared" si="1"/>
        <v>0.21699999999691499</v>
      </c>
      <c r="J29">
        <f>G29</f>
        <v>0.21699999999691499</v>
      </c>
      <c r="O29">
        <f t="shared" ca="1" si="2"/>
        <v>2.5106694475585112E-2</v>
      </c>
      <c r="Q29" s="2">
        <f t="shared" si="3"/>
        <v>37514.080999999998</v>
      </c>
    </row>
    <row r="30" spans="1:33" x14ac:dyDescent="0.2">
      <c r="A30" s="12" t="s">
        <v>43</v>
      </c>
      <c r="B30" s="5" t="s">
        <v>44</v>
      </c>
      <c r="C30" s="16">
        <v>52878.59</v>
      </c>
      <c r="D30" s="36">
        <v>5.0000000000000001E-3</v>
      </c>
      <c r="E30">
        <f t="shared" si="0"/>
        <v>21282.629849564528</v>
      </c>
      <c r="F30">
        <f t="shared" si="4"/>
        <v>21282.5</v>
      </c>
      <c r="G30" s="14" t="s">
        <v>45</v>
      </c>
      <c r="J30" s="13">
        <v>0.16400000000430737</v>
      </c>
      <c r="O30">
        <f t="shared" ca="1" si="2"/>
        <v>6.7380532311109853E-2</v>
      </c>
      <c r="Q30" s="2">
        <f t="shared" si="3"/>
        <v>37860.089999999997</v>
      </c>
    </row>
    <row r="31" spans="1:33" x14ac:dyDescent="0.2">
      <c r="A31" s="12" t="s">
        <v>49</v>
      </c>
      <c r="B31" s="15"/>
      <c r="C31" s="16">
        <v>53670.379699999998</v>
      </c>
      <c r="D31" s="16">
        <v>1E-3</v>
      </c>
      <c r="E31">
        <f t="shared" si="0"/>
        <v>21909.54172604909</v>
      </c>
      <c r="F31">
        <f t="shared" si="4"/>
        <v>21909.5</v>
      </c>
      <c r="G31">
        <f>+C31-(C$7+F31*C$8)</f>
        <v>5.2700000000186265E-2</v>
      </c>
      <c r="J31">
        <f>G31</f>
        <v>5.2700000000186265E-2</v>
      </c>
      <c r="O31">
        <f t="shared" ca="1" si="2"/>
        <v>0.16411665027780309</v>
      </c>
      <c r="Q31" s="2">
        <f t="shared" si="3"/>
        <v>38651.879699999998</v>
      </c>
    </row>
    <row r="32" spans="1:33" x14ac:dyDescent="0.2">
      <c r="A32" s="33"/>
      <c r="B32" s="34"/>
      <c r="C32" s="35"/>
      <c r="D32" s="35"/>
    </row>
    <row r="33" spans="1:4" x14ac:dyDescent="0.2">
      <c r="A33" s="33"/>
      <c r="B33" s="34"/>
      <c r="C33" s="35"/>
      <c r="D33" s="35"/>
    </row>
    <row r="34" spans="1:4" x14ac:dyDescent="0.2">
      <c r="C34" s="16"/>
      <c r="D34" s="16"/>
    </row>
    <row r="35" spans="1:4" x14ac:dyDescent="0.2">
      <c r="C35" s="16"/>
      <c r="D35" s="16"/>
    </row>
    <row r="36" spans="1:4" x14ac:dyDescent="0.2">
      <c r="C36" s="16"/>
      <c r="D36" s="16"/>
    </row>
    <row r="37" spans="1:4" x14ac:dyDescent="0.2">
      <c r="D37" s="5"/>
    </row>
    <row r="38" spans="1:4" x14ac:dyDescent="0.2">
      <c r="D38" s="5"/>
    </row>
    <row r="39" spans="1:4" x14ac:dyDescent="0.2">
      <c r="D39" s="5"/>
    </row>
    <row r="40" spans="1:4" x14ac:dyDescent="0.2">
      <c r="D40" s="5"/>
    </row>
    <row r="41" spans="1:4" x14ac:dyDescent="0.2">
      <c r="D41" s="5"/>
    </row>
    <row r="42" spans="1:4" x14ac:dyDescent="0.2">
      <c r="D42" s="5"/>
    </row>
    <row r="43" spans="1:4" x14ac:dyDescent="0.2">
      <c r="D43" s="5"/>
    </row>
    <row r="44" spans="1:4" x14ac:dyDescent="0.2">
      <c r="D44" s="5"/>
    </row>
    <row r="45" spans="1:4" x14ac:dyDescent="0.2">
      <c r="D45" s="5"/>
    </row>
    <row r="46" spans="1:4" x14ac:dyDescent="0.2">
      <c r="D46" s="5"/>
    </row>
    <row r="47" spans="1:4" x14ac:dyDescent="0.2">
      <c r="D47" s="5"/>
    </row>
    <row r="48" spans="1:4" x14ac:dyDescent="0.2">
      <c r="D48" s="5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6"/>
  <sheetViews>
    <sheetView workbookViewId="0">
      <selection activeCell="A27" sqref="A27:D34"/>
    </sheetView>
  </sheetViews>
  <sheetFormatPr defaultRowHeight="12.75" x14ac:dyDescent="0.2"/>
  <cols>
    <col min="1" max="1" width="19.7109375" style="16" customWidth="1"/>
    <col min="2" max="2" width="4.42578125" style="12" customWidth="1"/>
    <col min="3" max="3" width="12.7109375" style="16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6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54" t="s">
        <v>69</v>
      </c>
      <c r="I1" s="55" t="s">
        <v>70</v>
      </c>
      <c r="J1" s="56" t="s">
        <v>71</v>
      </c>
    </row>
    <row r="2" spans="1:16" x14ac:dyDescent="0.2">
      <c r="I2" s="57" t="s">
        <v>34</v>
      </c>
      <c r="J2" s="58" t="s">
        <v>72</v>
      </c>
    </row>
    <row r="3" spans="1:16" x14ac:dyDescent="0.2">
      <c r="A3" s="59" t="s">
        <v>73</v>
      </c>
      <c r="I3" s="57" t="s">
        <v>74</v>
      </c>
      <c r="J3" s="58" t="s">
        <v>75</v>
      </c>
    </row>
    <row r="4" spans="1:16" x14ac:dyDescent="0.2">
      <c r="I4" s="57" t="s">
        <v>76</v>
      </c>
      <c r="J4" s="58" t="s">
        <v>75</v>
      </c>
    </row>
    <row r="5" spans="1:16" ht="13.5" thickBot="1" x14ac:dyDescent="0.25">
      <c r="I5" s="60" t="s">
        <v>77</v>
      </c>
      <c r="J5" s="61" t="s">
        <v>60</v>
      </c>
    </row>
    <row r="10" spans="1:16" ht="13.5" thickBot="1" x14ac:dyDescent="0.25"/>
    <row r="11" spans="1:16" ht="12.75" customHeight="1" thickBot="1" x14ac:dyDescent="0.25">
      <c r="A11" s="16" t="str">
        <f t="shared" ref="A11:A34" si="0">P11</f>
        <v>IBVS 4531 </v>
      </c>
      <c r="B11" s="5" t="str">
        <f t="shared" ref="B11:B34" si="1">IF(H11=INT(H11),"I","II")</f>
        <v>I</v>
      </c>
      <c r="C11" s="16">
        <f t="shared" ref="C11:C34" si="2">1*G11</f>
        <v>50710.297299999998</v>
      </c>
      <c r="D11" s="12" t="str">
        <f t="shared" ref="D11:D34" si="3">VLOOKUP(F11,I$1:J$5,2,FALSE)</f>
        <v>vis</v>
      </c>
      <c r="E11" s="62">
        <f>VLOOKUP(C11,Active!C$21:E$973,3,FALSE)</f>
        <v>19565.85019794141</v>
      </c>
      <c r="F11" s="5" t="s">
        <v>77</v>
      </c>
      <c r="G11" s="12" t="str">
        <f t="shared" ref="G11:G34" si="4">MID(I11,3,LEN(I11)-3)</f>
        <v>50710.2973</v>
      </c>
      <c r="H11" s="16">
        <f t="shared" ref="H11:H34" si="5">1*K11</f>
        <v>13040</v>
      </c>
      <c r="I11" s="63" t="s">
        <v>78</v>
      </c>
      <c r="J11" s="64" t="s">
        <v>79</v>
      </c>
      <c r="K11" s="63">
        <v>13040</v>
      </c>
      <c r="L11" s="63" t="s">
        <v>80</v>
      </c>
      <c r="M11" s="64" t="s">
        <v>81</v>
      </c>
      <c r="N11" s="64" t="s">
        <v>82</v>
      </c>
      <c r="O11" s="65" t="s">
        <v>83</v>
      </c>
      <c r="P11" s="66" t="s">
        <v>84</v>
      </c>
    </row>
    <row r="12" spans="1:16" ht="12.75" customHeight="1" thickBot="1" x14ac:dyDescent="0.25">
      <c r="A12" s="16" t="str">
        <f t="shared" si="0"/>
        <v> BBS 116 </v>
      </c>
      <c r="B12" s="5" t="str">
        <f t="shared" si="1"/>
        <v>II</v>
      </c>
      <c r="C12" s="16">
        <f t="shared" si="2"/>
        <v>50754.503100000002</v>
      </c>
      <c r="D12" s="12" t="str">
        <f t="shared" si="3"/>
        <v>vis</v>
      </c>
      <c r="E12" s="62">
        <f>VLOOKUP(C12,Active!C$21:E$973,3,FALSE)</f>
        <v>19600.850831353924</v>
      </c>
      <c r="F12" s="5" t="s">
        <v>77</v>
      </c>
      <c r="G12" s="12" t="str">
        <f t="shared" si="4"/>
        <v>50754.5031</v>
      </c>
      <c r="H12" s="16">
        <f t="shared" si="5"/>
        <v>13063.5</v>
      </c>
      <c r="I12" s="63" t="s">
        <v>85</v>
      </c>
      <c r="J12" s="64" t="s">
        <v>86</v>
      </c>
      <c r="K12" s="63">
        <v>13063.5</v>
      </c>
      <c r="L12" s="63" t="s">
        <v>87</v>
      </c>
      <c r="M12" s="64" t="s">
        <v>81</v>
      </c>
      <c r="N12" s="64" t="s">
        <v>82</v>
      </c>
      <c r="O12" s="65" t="s">
        <v>88</v>
      </c>
      <c r="P12" s="65" t="s">
        <v>89</v>
      </c>
    </row>
    <row r="13" spans="1:16" ht="12.75" customHeight="1" thickBot="1" x14ac:dyDescent="0.25">
      <c r="A13" s="16" t="str">
        <f t="shared" si="0"/>
        <v> BBS 117 </v>
      </c>
      <c r="B13" s="5" t="str">
        <f t="shared" si="1"/>
        <v>I</v>
      </c>
      <c r="C13" s="16">
        <f t="shared" si="2"/>
        <v>50854.2673</v>
      </c>
      <c r="D13" s="12" t="str">
        <f t="shared" si="3"/>
        <v>vis</v>
      </c>
      <c r="E13" s="62">
        <f>VLOOKUP(C13,Active!C$21:E$973,3,FALSE)</f>
        <v>19679.840696753763</v>
      </c>
      <c r="F13" s="5" t="s">
        <v>77</v>
      </c>
      <c r="G13" s="12" t="str">
        <f t="shared" si="4"/>
        <v>50854.2673</v>
      </c>
      <c r="H13" s="16">
        <f t="shared" si="5"/>
        <v>13116</v>
      </c>
      <c r="I13" s="63" t="s">
        <v>90</v>
      </c>
      <c r="J13" s="64" t="s">
        <v>91</v>
      </c>
      <c r="K13" s="63">
        <v>13116</v>
      </c>
      <c r="L13" s="63" t="s">
        <v>92</v>
      </c>
      <c r="M13" s="64" t="s">
        <v>81</v>
      </c>
      <c r="N13" s="64" t="s">
        <v>82</v>
      </c>
      <c r="O13" s="65" t="s">
        <v>88</v>
      </c>
      <c r="P13" s="65" t="s">
        <v>93</v>
      </c>
    </row>
    <row r="14" spans="1:16" ht="12.75" customHeight="1" thickBot="1" x14ac:dyDescent="0.25">
      <c r="A14" s="16" t="str">
        <f t="shared" si="0"/>
        <v> BBS 117 </v>
      </c>
      <c r="B14" s="5" t="str">
        <f t="shared" si="1"/>
        <v>II</v>
      </c>
      <c r="C14" s="16">
        <f t="shared" si="2"/>
        <v>50859.315000000002</v>
      </c>
      <c r="D14" s="12" t="str">
        <f t="shared" si="3"/>
        <v>vis</v>
      </c>
      <c r="E14" s="62">
        <f>VLOOKUP(C14,Active!C$21:E$973,3,FALSE)</f>
        <v>19683.837292161523</v>
      </c>
      <c r="F14" s="5" t="s">
        <v>77</v>
      </c>
      <c r="G14" s="12" t="str">
        <f t="shared" si="4"/>
        <v>50859.3150</v>
      </c>
      <c r="H14" s="16">
        <f t="shared" si="5"/>
        <v>13118.5</v>
      </c>
      <c r="I14" s="63" t="s">
        <v>94</v>
      </c>
      <c r="J14" s="64" t="s">
        <v>95</v>
      </c>
      <c r="K14" s="63">
        <v>13118.5</v>
      </c>
      <c r="L14" s="63" t="s">
        <v>96</v>
      </c>
      <c r="M14" s="64" t="s">
        <v>81</v>
      </c>
      <c r="N14" s="64" t="s">
        <v>82</v>
      </c>
      <c r="O14" s="65" t="s">
        <v>83</v>
      </c>
      <c r="P14" s="65" t="s">
        <v>93</v>
      </c>
    </row>
    <row r="15" spans="1:16" ht="12.75" customHeight="1" thickBot="1" x14ac:dyDescent="0.25">
      <c r="A15" s="16" t="str">
        <f t="shared" si="0"/>
        <v> BBS 117 </v>
      </c>
      <c r="B15" s="5" t="str">
        <f t="shared" si="1"/>
        <v>II</v>
      </c>
      <c r="C15" s="16">
        <f t="shared" si="2"/>
        <v>50859.326000000001</v>
      </c>
      <c r="D15" s="12" t="str">
        <f t="shared" si="3"/>
        <v>vis</v>
      </c>
      <c r="E15" s="62">
        <f>VLOOKUP(C15,Active!C$21:E$973,3,FALSE)</f>
        <v>19683.846001583534</v>
      </c>
      <c r="F15" s="5" t="s">
        <v>77</v>
      </c>
      <c r="G15" s="12" t="str">
        <f t="shared" si="4"/>
        <v>50859.326</v>
      </c>
      <c r="H15" s="16">
        <f t="shared" si="5"/>
        <v>13118.5</v>
      </c>
      <c r="I15" s="63" t="s">
        <v>97</v>
      </c>
      <c r="J15" s="64" t="s">
        <v>98</v>
      </c>
      <c r="K15" s="63">
        <v>13118.5</v>
      </c>
      <c r="L15" s="63" t="s">
        <v>99</v>
      </c>
      <c r="M15" s="64" t="s">
        <v>100</v>
      </c>
      <c r="N15" s="64"/>
      <c r="O15" s="65" t="s">
        <v>101</v>
      </c>
      <c r="P15" s="65" t="s">
        <v>93</v>
      </c>
    </row>
    <row r="16" spans="1:16" ht="12.75" customHeight="1" thickBot="1" x14ac:dyDescent="0.25">
      <c r="A16" s="16" t="str">
        <f t="shared" si="0"/>
        <v> BBS 118 </v>
      </c>
      <c r="B16" s="5" t="str">
        <f t="shared" si="1"/>
        <v>I</v>
      </c>
      <c r="C16" s="16">
        <f t="shared" si="2"/>
        <v>50994.461000000003</v>
      </c>
      <c r="D16" s="12" t="str">
        <f t="shared" si="3"/>
        <v>vis</v>
      </c>
      <c r="E16" s="62">
        <f>VLOOKUP(C16,Active!C$21:E$973,3,FALSE)</f>
        <v>19790.841250989713</v>
      </c>
      <c r="F16" s="5" t="s">
        <v>77</v>
      </c>
      <c r="G16" s="12" t="str">
        <f t="shared" si="4"/>
        <v>50994.461</v>
      </c>
      <c r="H16" s="16">
        <f t="shared" si="5"/>
        <v>13190</v>
      </c>
      <c r="I16" s="63" t="s">
        <v>102</v>
      </c>
      <c r="J16" s="64" t="s">
        <v>103</v>
      </c>
      <c r="K16" s="63">
        <v>13190</v>
      </c>
      <c r="L16" s="63" t="s">
        <v>104</v>
      </c>
      <c r="M16" s="64" t="s">
        <v>100</v>
      </c>
      <c r="N16" s="64"/>
      <c r="O16" s="65" t="s">
        <v>101</v>
      </c>
      <c r="P16" s="65" t="s">
        <v>105</v>
      </c>
    </row>
    <row r="17" spans="1:16" ht="12.75" customHeight="1" thickBot="1" x14ac:dyDescent="0.25">
      <c r="A17" s="16" t="str">
        <f t="shared" si="0"/>
        <v>OEJV 0074 </v>
      </c>
      <c r="B17" s="5" t="str">
        <f t="shared" si="1"/>
        <v>I</v>
      </c>
      <c r="C17" s="16">
        <f t="shared" si="2"/>
        <v>51758.454960000003</v>
      </c>
      <c r="D17" s="12" t="str">
        <f t="shared" si="3"/>
        <v>vis</v>
      </c>
      <c r="E17" s="62">
        <f>VLOOKUP(C17,Active!C$21:E$973,3,FALSE)</f>
        <v>20396.245415676964</v>
      </c>
      <c r="F17" s="5" t="s">
        <v>77</v>
      </c>
      <c r="G17" s="12" t="str">
        <f t="shared" si="4"/>
        <v>51758.45496</v>
      </c>
      <c r="H17" s="16">
        <f t="shared" si="5"/>
        <v>13593</v>
      </c>
      <c r="I17" s="63" t="s">
        <v>118</v>
      </c>
      <c r="J17" s="64" t="s">
        <v>119</v>
      </c>
      <c r="K17" s="63">
        <v>13593</v>
      </c>
      <c r="L17" s="63" t="s">
        <v>120</v>
      </c>
      <c r="M17" s="64" t="s">
        <v>121</v>
      </c>
      <c r="N17" s="64" t="s">
        <v>122</v>
      </c>
      <c r="O17" s="65" t="s">
        <v>123</v>
      </c>
      <c r="P17" s="66" t="s">
        <v>124</v>
      </c>
    </row>
    <row r="18" spans="1:16" ht="12.75" customHeight="1" thickBot="1" x14ac:dyDescent="0.25">
      <c r="A18" s="16" t="str">
        <f t="shared" si="0"/>
        <v>OEJV 0074 </v>
      </c>
      <c r="B18" s="5" t="str">
        <f t="shared" si="1"/>
        <v>II</v>
      </c>
      <c r="C18" s="16">
        <f t="shared" si="2"/>
        <v>51782.446889999999</v>
      </c>
      <c r="D18" s="12" t="str">
        <f t="shared" si="3"/>
        <v>vis</v>
      </c>
      <c r="E18" s="62">
        <f>VLOOKUP(C18,Active!C$21:E$973,3,FALSE)</f>
        <v>20415.241401425181</v>
      </c>
      <c r="F18" s="5" t="s">
        <v>77</v>
      </c>
      <c r="G18" s="12" t="str">
        <f t="shared" si="4"/>
        <v>51782.44689</v>
      </c>
      <c r="H18" s="16">
        <f t="shared" si="5"/>
        <v>13605.5</v>
      </c>
      <c r="I18" s="63" t="s">
        <v>125</v>
      </c>
      <c r="J18" s="64" t="s">
        <v>126</v>
      </c>
      <c r="K18" s="63">
        <v>13605.5</v>
      </c>
      <c r="L18" s="63" t="s">
        <v>127</v>
      </c>
      <c r="M18" s="64" t="s">
        <v>121</v>
      </c>
      <c r="N18" s="64" t="s">
        <v>122</v>
      </c>
      <c r="O18" s="65" t="s">
        <v>123</v>
      </c>
      <c r="P18" s="66" t="s">
        <v>124</v>
      </c>
    </row>
    <row r="19" spans="1:16" ht="12.75" customHeight="1" thickBot="1" x14ac:dyDescent="0.25">
      <c r="A19" s="16" t="str">
        <f t="shared" si="0"/>
        <v>OEJV 0074 </v>
      </c>
      <c r="B19" s="5" t="str">
        <f t="shared" si="1"/>
        <v>I</v>
      </c>
      <c r="C19" s="16">
        <f t="shared" si="2"/>
        <v>52219.386270000003</v>
      </c>
      <c r="D19" s="12" t="str">
        <f t="shared" si="3"/>
        <v>vis</v>
      </c>
      <c r="E19" s="62">
        <f>VLOOKUP(C19,Active!C$21:E$973,3,FALSE)</f>
        <v>20761.19498812352</v>
      </c>
      <c r="F19" s="5" t="s">
        <v>77</v>
      </c>
      <c r="G19" s="12" t="str">
        <f t="shared" si="4"/>
        <v>52219.38627</v>
      </c>
      <c r="H19" s="16">
        <f t="shared" si="5"/>
        <v>13836</v>
      </c>
      <c r="I19" s="63" t="s">
        <v>132</v>
      </c>
      <c r="J19" s="64" t="s">
        <v>133</v>
      </c>
      <c r="K19" s="63">
        <v>13836</v>
      </c>
      <c r="L19" s="63" t="s">
        <v>134</v>
      </c>
      <c r="M19" s="64" t="s">
        <v>121</v>
      </c>
      <c r="N19" s="64" t="s">
        <v>122</v>
      </c>
      <c r="O19" s="65" t="s">
        <v>123</v>
      </c>
      <c r="P19" s="66" t="s">
        <v>124</v>
      </c>
    </row>
    <row r="20" spans="1:16" ht="12.75" customHeight="1" thickBot="1" x14ac:dyDescent="0.25">
      <c r="A20" s="16" t="str">
        <f t="shared" si="0"/>
        <v> BBS 129 </v>
      </c>
      <c r="B20" s="5" t="str">
        <f t="shared" si="1"/>
        <v>II</v>
      </c>
      <c r="C20" s="16">
        <f t="shared" si="2"/>
        <v>52532.580999999998</v>
      </c>
      <c r="D20" s="12" t="str">
        <f t="shared" si="3"/>
        <v>vis</v>
      </c>
      <c r="E20" s="62">
        <f>VLOOKUP(C20,Active!C$21:E$973,3,FALSE)</f>
        <v>21009.171813143312</v>
      </c>
      <c r="F20" s="5" t="s">
        <v>77</v>
      </c>
      <c r="G20" s="12" t="str">
        <f t="shared" si="4"/>
        <v>52532.581</v>
      </c>
      <c r="H20" s="16">
        <f t="shared" si="5"/>
        <v>14001.5</v>
      </c>
      <c r="I20" s="63" t="s">
        <v>139</v>
      </c>
      <c r="J20" s="64" t="s">
        <v>140</v>
      </c>
      <c r="K20" s="63">
        <v>14001.5</v>
      </c>
      <c r="L20" s="63" t="s">
        <v>141</v>
      </c>
      <c r="M20" s="64" t="s">
        <v>100</v>
      </c>
      <c r="N20" s="64"/>
      <c r="O20" s="65" t="s">
        <v>101</v>
      </c>
      <c r="P20" s="65" t="s">
        <v>142</v>
      </c>
    </row>
    <row r="21" spans="1:16" ht="12.75" customHeight="1" thickBot="1" x14ac:dyDescent="0.25">
      <c r="A21" s="16" t="str">
        <f t="shared" si="0"/>
        <v> BBS 130 </v>
      </c>
      <c r="B21" s="5" t="str">
        <f t="shared" si="1"/>
        <v>I</v>
      </c>
      <c r="C21" s="16">
        <f t="shared" si="2"/>
        <v>52878.59</v>
      </c>
      <c r="D21" s="12" t="str">
        <f t="shared" si="3"/>
        <v>vis</v>
      </c>
      <c r="E21" s="62">
        <f>VLOOKUP(C21,Active!C$21:E$973,3,FALSE)</f>
        <v>21283.129849564528</v>
      </c>
      <c r="F21" s="5" t="s">
        <v>77</v>
      </c>
      <c r="G21" s="12" t="str">
        <f t="shared" si="4"/>
        <v>52878.590</v>
      </c>
      <c r="H21" s="16">
        <f t="shared" si="5"/>
        <v>14184</v>
      </c>
      <c r="I21" s="63" t="s">
        <v>143</v>
      </c>
      <c r="J21" s="64" t="s">
        <v>144</v>
      </c>
      <c r="K21" s="63">
        <v>14184</v>
      </c>
      <c r="L21" s="63" t="s">
        <v>145</v>
      </c>
      <c r="M21" s="64" t="s">
        <v>100</v>
      </c>
      <c r="N21" s="64"/>
      <c r="O21" s="65" t="s">
        <v>101</v>
      </c>
      <c r="P21" s="65" t="s">
        <v>146</v>
      </c>
    </row>
    <row r="22" spans="1:16" ht="12.75" customHeight="1" thickBot="1" x14ac:dyDescent="0.25">
      <c r="A22" s="16" t="str">
        <f t="shared" si="0"/>
        <v>OEJV 0003 </v>
      </c>
      <c r="B22" s="5" t="str">
        <f t="shared" si="1"/>
        <v>I</v>
      </c>
      <c r="C22" s="16">
        <f t="shared" si="2"/>
        <v>53233.442999999999</v>
      </c>
      <c r="D22" s="12" t="str">
        <f t="shared" si="3"/>
        <v>vis</v>
      </c>
      <c r="E22" s="62">
        <f>VLOOKUP(C22,Active!C$21:E$973,3,FALSE)</f>
        <v>21564.090261282661</v>
      </c>
      <c r="F22" s="5" t="s">
        <v>77</v>
      </c>
      <c r="G22" s="12" t="str">
        <f t="shared" si="4"/>
        <v>53233.443</v>
      </c>
      <c r="H22" s="16">
        <f t="shared" si="5"/>
        <v>14371</v>
      </c>
      <c r="I22" s="63" t="s">
        <v>147</v>
      </c>
      <c r="J22" s="64" t="s">
        <v>148</v>
      </c>
      <c r="K22" s="63">
        <v>14371</v>
      </c>
      <c r="L22" s="63" t="s">
        <v>149</v>
      </c>
      <c r="M22" s="64" t="s">
        <v>100</v>
      </c>
      <c r="N22" s="64"/>
      <c r="O22" s="65" t="s">
        <v>101</v>
      </c>
      <c r="P22" s="66" t="s">
        <v>150</v>
      </c>
    </row>
    <row r="23" spans="1:16" ht="12.75" customHeight="1" thickBot="1" x14ac:dyDescent="0.25">
      <c r="A23" s="16" t="str">
        <f t="shared" si="0"/>
        <v>BAVM 178 </v>
      </c>
      <c r="B23" s="5" t="str">
        <f t="shared" si="1"/>
        <v>I</v>
      </c>
      <c r="C23" s="16">
        <f t="shared" si="2"/>
        <v>53670.379699999998</v>
      </c>
      <c r="D23" s="12" t="str">
        <f t="shared" si="3"/>
        <v>vis</v>
      </c>
      <c r="E23" s="62">
        <f>VLOOKUP(C23,Active!C$21:E$973,3,FALSE)</f>
        <v>21910.04172604909</v>
      </c>
      <c r="F23" s="5" t="s">
        <v>77</v>
      </c>
      <c r="G23" s="12" t="str">
        <f t="shared" si="4"/>
        <v>53670.3797</v>
      </c>
      <c r="H23" s="16">
        <f t="shared" si="5"/>
        <v>14602</v>
      </c>
      <c r="I23" s="63" t="s">
        <v>151</v>
      </c>
      <c r="J23" s="64" t="s">
        <v>152</v>
      </c>
      <c r="K23" s="63">
        <v>14602</v>
      </c>
      <c r="L23" s="63" t="s">
        <v>153</v>
      </c>
      <c r="M23" s="64" t="s">
        <v>121</v>
      </c>
      <c r="N23" s="64" t="s">
        <v>122</v>
      </c>
      <c r="O23" s="65" t="s">
        <v>154</v>
      </c>
      <c r="P23" s="66" t="s">
        <v>155</v>
      </c>
    </row>
    <row r="24" spans="1:16" ht="12.75" customHeight="1" thickBot="1" x14ac:dyDescent="0.25">
      <c r="A24" s="16" t="str">
        <f t="shared" si="0"/>
        <v>IBVS 5960 </v>
      </c>
      <c r="B24" s="5" t="str">
        <f t="shared" si="1"/>
        <v>I</v>
      </c>
      <c r="C24" s="16">
        <f t="shared" si="2"/>
        <v>55478.762799999997</v>
      </c>
      <c r="D24" s="12" t="str">
        <f t="shared" si="3"/>
        <v>vis</v>
      </c>
      <c r="E24" s="62">
        <f>VLOOKUP(C24,Active!C$21:E$973,3,FALSE)</f>
        <v>23341.857323832144</v>
      </c>
      <c r="F24" s="5" t="s">
        <v>77</v>
      </c>
      <c r="G24" s="12" t="str">
        <f t="shared" si="4"/>
        <v>55478.7628</v>
      </c>
      <c r="H24" s="16">
        <f t="shared" si="5"/>
        <v>15556</v>
      </c>
      <c r="I24" s="63" t="s">
        <v>167</v>
      </c>
      <c r="J24" s="64" t="s">
        <v>168</v>
      </c>
      <c r="K24" s="63" t="s">
        <v>169</v>
      </c>
      <c r="L24" s="63" t="s">
        <v>170</v>
      </c>
      <c r="M24" s="64" t="s">
        <v>121</v>
      </c>
      <c r="N24" s="64" t="s">
        <v>77</v>
      </c>
      <c r="O24" s="65" t="s">
        <v>83</v>
      </c>
      <c r="P24" s="66" t="s">
        <v>171</v>
      </c>
    </row>
    <row r="25" spans="1:16" ht="12.75" customHeight="1" thickBot="1" x14ac:dyDescent="0.25">
      <c r="A25" s="16" t="str">
        <f t="shared" si="0"/>
        <v>BAVM 215 </v>
      </c>
      <c r="B25" s="5" t="str">
        <f t="shared" si="1"/>
        <v>II</v>
      </c>
      <c r="C25" s="16">
        <f t="shared" si="2"/>
        <v>55491.391600000003</v>
      </c>
      <c r="D25" s="12" t="str">
        <f t="shared" si="3"/>
        <v>vis</v>
      </c>
      <c r="E25" s="62">
        <f>VLOOKUP(C25,Active!C$21:E$973,3,FALSE)</f>
        <v>23351.856373713385</v>
      </c>
      <c r="F25" s="5" t="s">
        <v>77</v>
      </c>
      <c r="G25" s="12" t="str">
        <f t="shared" si="4"/>
        <v>55491.3916</v>
      </c>
      <c r="H25" s="16">
        <f t="shared" si="5"/>
        <v>15562.5</v>
      </c>
      <c r="I25" s="63" t="s">
        <v>172</v>
      </c>
      <c r="J25" s="64" t="s">
        <v>173</v>
      </c>
      <c r="K25" s="63" t="s">
        <v>174</v>
      </c>
      <c r="L25" s="63" t="s">
        <v>175</v>
      </c>
      <c r="M25" s="64" t="s">
        <v>121</v>
      </c>
      <c r="N25" s="64" t="s">
        <v>159</v>
      </c>
      <c r="O25" s="65" t="s">
        <v>160</v>
      </c>
      <c r="P25" s="66" t="s">
        <v>176</v>
      </c>
    </row>
    <row r="26" spans="1:16" ht="12.75" customHeight="1" thickBot="1" x14ac:dyDescent="0.25">
      <c r="A26" s="16" t="str">
        <f t="shared" si="0"/>
        <v>IBVS 6011 </v>
      </c>
      <c r="B26" s="5" t="str">
        <f t="shared" si="1"/>
        <v>I</v>
      </c>
      <c r="C26" s="16">
        <f t="shared" si="2"/>
        <v>55910.6558</v>
      </c>
      <c r="D26" s="12" t="str">
        <f t="shared" si="3"/>
        <v>vis</v>
      </c>
      <c r="E26" s="62">
        <f>VLOOKUP(C26,Active!C$21:E$973,3,FALSE)</f>
        <v>23683.815360253368</v>
      </c>
      <c r="F26" s="5" t="s">
        <v>77</v>
      </c>
      <c r="G26" s="12" t="str">
        <f t="shared" si="4"/>
        <v>55910.6558</v>
      </c>
      <c r="H26" s="16">
        <f t="shared" si="5"/>
        <v>15784</v>
      </c>
      <c r="I26" s="63" t="s">
        <v>177</v>
      </c>
      <c r="J26" s="64" t="s">
        <v>178</v>
      </c>
      <c r="K26" s="63" t="s">
        <v>179</v>
      </c>
      <c r="L26" s="63" t="s">
        <v>180</v>
      </c>
      <c r="M26" s="64" t="s">
        <v>121</v>
      </c>
      <c r="N26" s="64" t="s">
        <v>77</v>
      </c>
      <c r="O26" s="65" t="s">
        <v>83</v>
      </c>
      <c r="P26" s="66" t="s">
        <v>181</v>
      </c>
    </row>
    <row r="27" spans="1:16" ht="12.75" customHeight="1" thickBot="1" x14ac:dyDescent="0.25">
      <c r="A27" s="16" t="str">
        <f t="shared" si="0"/>
        <v> BBS 119 </v>
      </c>
      <c r="B27" s="5" t="str">
        <f t="shared" si="1"/>
        <v>II</v>
      </c>
      <c r="C27" s="16">
        <f t="shared" si="2"/>
        <v>51166.222000000002</v>
      </c>
      <c r="D27" s="12" t="str">
        <f t="shared" si="3"/>
        <v>vis</v>
      </c>
      <c r="E27" s="62">
        <f>VLOOKUP(C27,Active!C$21:E$973,3,FALSE)</f>
        <v>19927.335708630249</v>
      </c>
      <c r="F27" s="5" t="s">
        <v>77</v>
      </c>
      <c r="G27" s="12" t="str">
        <f t="shared" si="4"/>
        <v>51166.222</v>
      </c>
      <c r="H27" s="16">
        <f t="shared" si="5"/>
        <v>13280.5</v>
      </c>
      <c r="I27" s="63" t="s">
        <v>106</v>
      </c>
      <c r="J27" s="64" t="s">
        <v>107</v>
      </c>
      <c r="K27" s="63">
        <v>13280.5</v>
      </c>
      <c r="L27" s="63" t="s">
        <v>108</v>
      </c>
      <c r="M27" s="64" t="s">
        <v>100</v>
      </c>
      <c r="N27" s="64"/>
      <c r="O27" s="65" t="s">
        <v>101</v>
      </c>
      <c r="P27" s="65" t="s">
        <v>109</v>
      </c>
    </row>
    <row r="28" spans="1:16" ht="12.75" customHeight="1" thickBot="1" x14ac:dyDescent="0.25">
      <c r="A28" s="16" t="str">
        <f t="shared" si="0"/>
        <v> BBS 121 </v>
      </c>
      <c r="B28" s="5" t="str">
        <f t="shared" si="1"/>
        <v>II</v>
      </c>
      <c r="C28" s="16">
        <f t="shared" si="2"/>
        <v>51431.419000000002</v>
      </c>
      <c r="D28" s="12" t="str">
        <f t="shared" si="3"/>
        <v>vis</v>
      </c>
      <c r="E28" s="62">
        <f>VLOOKUP(C28,Active!C$21:E$973,3,FALSE)</f>
        <v>20137.309580364217</v>
      </c>
      <c r="F28" s="5" t="s">
        <v>77</v>
      </c>
      <c r="G28" s="12" t="str">
        <f t="shared" si="4"/>
        <v>51431.419</v>
      </c>
      <c r="H28" s="16">
        <f t="shared" si="5"/>
        <v>13420.5</v>
      </c>
      <c r="I28" s="63" t="s">
        <v>110</v>
      </c>
      <c r="J28" s="64" t="s">
        <v>111</v>
      </c>
      <c r="K28" s="63">
        <v>13420.5</v>
      </c>
      <c r="L28" s="63" t="s">
        <v>112</v>
      </c>
      <c r="M28" s="64" t="s">
        <v>100</v>
      </c>
      <c r="N28" s="64"/>
      <c r="O28" s="65" t="s">
        <v>101</v>
      </c>
      <c r="P28" s="65" t="s">
        <v>113</v>
      </c>
    </row>
    <row r="29" spans="1:16" ht="12.75" customHeight="1" thickBot="1" x14ac:dyDescent="0.25">
      <c r="A29" s="16" t="str">
        <f t="shared" si="0"/>
        <v> BBS 122 </v>
      </c>
      <c r="B29" s="5" t="str">
        <f t="shared" si="1"/>
        <v>II</v>
      </c>
      <c r="C29" s="16">
        <f t="shared" si="2"/>
        <v>51575.339800000002</v>
      </c>
      <c r="D29" s="12" t="str">
        <f t="shared" si="3"/>
        <v>vis</v>
      </c>
      <c r="E29" s="62">
        <f>VLOOKUP(C29,Active!C$21:E$973,3,FALSE)</f>
        <v>20251.26112430721</v>
      </c>
      <c r="F29" s="5" t="s">
        <v>77</v>
      </c>
      <c r="G29" s="12" t="str">
        <f t="shared" si="4"/>
        <v>51575.3398</v>
      </c>
      <c r="H29" s="16">
        <f t="shared" si="5"/>
        <v>13496.5</v>
      </c>
      <c r="I29" s="63" t="s">
        <v>114</v>
      </c>
      <c r="J29" s="64" t="s">
        <v>115</v>
      </c>
      <c r="K29" s="63">
        <v>13496.5</v>
      </c>
      <c r="L29" s="63" t="s">
        <v>116</v>
      </c>
      <c r="M29" s="64" t="s">
        <v>81</v>
      </c>
      <c r="N29" s="64" t="s">
        <v>82</v>
      </c>
      <c r="O29" s="65" t="s">
        <v>83</v>
      </c>
      <c r="P29" s="65" t="s">
        <v>117</v>
      </c>
    </row>
    <row r="30" spans="1:16" ht="12.75" customHeight="1" thickBot="1" x14ac:dyDescent="0.25">
      <c r="A30" s="16" t="str">
        <f t="shared" si="0"/>
        <v> BBS 123 </v>
      </c>
      <c r="B30" s="5" t="str">
        <f t="shared" si="1"/>
        <v>I</v>
      </c>
      <c r="C30" s="16">
        <f t="shared" si="2"/>
        <v>51811.495000000003</v>
      </c>
      <c r="D30" s="12" t="str">
        <f t="shared" si="3"/>
        <v>vis</v>
      </c>
      <c r="E30" s="62">
        <f>VLOOKUP(C30,Active!C$21:E$973,3,FALSE)</f>
        <v>20438.240696753764</v>
      </c>
      <c r="F30" s="5" t="s">
        <v>77</v>
      </c>
      <c r="G30" s="12" t="str">
        <f t="shared" si="4"/>
        <v>51811.495</v>
      </c>
      <c r="H30" s="16">
        <f t="shared" si="5"/>
        <v>13621</v>
      </c>
      <c r="I30" s="63" t="s">
        <v>128</v>
      </c>
      <c r="J30" s="64" t="s">
        <v>129</v>
      </c>
      <c r="K30" s="63">
        <v>13621</v>
      </c>
      <c r="L30" s="63" t="s">
        <v>130</v>
      </c>
      <c r="M30" s="64" t="s">
        <v>100</v>
      </c>
      <c r="N30" s="64"/>
      <c r="O30" s="65" t="s">
        <v>101</v>
      </c>
      <c r="P30" s="65" t="s">
        <v>131</v>
      </c>
    </row>
    <row r="31" spans="1:16" ht="12.75" customHeight="1" thickBot="1" x14ac:dyDescent="0.25">
      <c r="A31" s="16" t="str">
        <f t="shared" si="0"/>
        <v> BBS 128 </v>
      </c>
      <c r="B31" s="5" t="str">
        <f t="shared" si="1"/>
        <v>I</v>
      </c>
      <c r="C31" s="16">
        <f t="shared" si="2"/>
        <v>52503.523699999998</v>
      </c>
      <c r="D31" s="12" t="str">
        <f t="shared" si="3"/>
        <v>vis</v>
      </c>
      <c r="E31" s="62">
        <f>VLOOKUP(C31,Active!C$21:E$973,3,FALSE)</f>
        <v>20986.165241488521</v>
      </c>
      <c r="F31" s="5" t="s">
        <v>77</v>
      </c>
      <c r="G31" s="12" t="str">
        <f t="shared" si="4"/>
        <v>52503.5237</v>
      </c>
      <c r="H31" s="16">
        <f t="shared" si="5"/>
        <v>13986</v>
      </c>
      <c r="I31" s="63" t="s">
        <v>135</v>
      </c>
      <c r="J31" s="64" t="s">
        <v>136</v>
      </c>
      <c r="K31" s="63">
        <v>13986</v>
      </c>
      <c r="L31" s="63" t="s">
        <v>137</v>
      </c>
      <c r="M31" s="64" t="s">
        <v>81</v>
      </c>
      <c r="N31" s="64" t="s">
        <v>82</v>
      </c>
      <c r="O31" s="65" t="s">
        <v>83</v>
      </c>
      <c r="P31" s="65" t="s">
        <v>138</v>
      </c>
    </row>
    <row r="32" spans="1:16" ht="12.75" customHeight="1" thickBot="1" x14ac:dyDescent="0.25">
      <c r="A32" s="16" t="str">
        <f t="shared" si="0"/>
        <v>BAVM 212 </v>
      </c>
      <c r="B32" s="5" t="str">
        <f t="shared" si="1"/>
        <v>I</v>
      </c>
      <c r="C32" s="16">
        <f t="shared" si="2"/>
        <v>55059.5049</v>
      </c>
      <c r="D32" s="12" t="str">
        <f t="shared" si="3"/>
        <v>vis</v>
      </c>
      <c r="E32" s="62">
        <f>VLOOKUP(C32,Active!C$21:E$973,3,FALSE)</f>
        <v>23009.903325415678</v>
      </c>
      <c r="F32" s="5" t="s">
        <v>77</v>
      </c>
      <c r="G32" s="12" t="str">
        <f t="shared" si="4"/>
        <v>55059.5049</v>
      </c>
      <c r="H32" s="16">
        <f t="shared" si="5"/>
        <v>15335</v>
      </c>
      <c r="I32" s="63" t="s">
        <v>156</v>
      </c>
      <c r="J32" s="64" t="s">
        <v>157</v>
      </c>
      <c r="K32" s="63">
        <v>15335</v>
      </c>
      <c r="L32" s="63" t="s">
        <v>158</v>
      </c>
      <c r="M32" s="64" t="s">
        <v>121</v>
      </c>
      <c r="N32" s="64" t="s">
        <v>159</v>
      </c>
      <c r="O32" s="65" t="s">
        <v>160</v>
      </c>
      <c r="P32" s="66" t="s">
        <v>161</v>
      </c>
    </row>
    <row r="33" spans="1:16" ht="12.75" customHeight="1" thickBot="1" x14ac:dyDescent="0.25">
      <c r="A33" s="16" t="str">
        <f t="shared" si="0"/>
        <v>BAVM 212 </v>
      </c>
      <c r="B33" s="5" t="str">
        <f t="shared" si="1"/>
        <v>II</v>
      </c>
      <c r="C33" s="16">
        <f t="shared" si="2"/>
        <v>55155.481500000002</v>
      </c>
      <c r="D33" s="12" t="str">
        <f t="shared" si="3"/>
        <v>vis</v>
      </c>
      <c r="E33" s="62">
        <f>VLOOKUP(C33,Active!C$21:E$973,3,FALSE)</f>
        <v>23085.894299287414</v>
      </c>
      <c r="F33" s="5" t="s">
        <v>77</v>
      </c>
      <c r="G33" s="12" t="str">
        <f t="shared" si="4"/>
        <v>55155.4815</v>
      </c>
      <c r="H33" s="16">
        <f t="shared" si="5"/>
        <v>15385.5</v>
      </c>
      <c r="I33" s="63" t="s">
        <v>162</v>
      </c>
      <c r="J33" s="64" t="s">
        <v>163</v>
      </c>
      <c r="K33" s="63" t="s">
        <v>164</v>
      </c>
      <c r="L33" s="63" t="s">
        <v>165</v>
      </c>
      <c r="M33" s="64" t="s">
        <v>121</v>
      </c>
      <c r="N33" s="64" t="s">
        <v>122</v>
      </c>
      <c r="O33" s="65" t="s">
        <v>166</v>
      </c>
      <c r="P33" s="66" t="s">
        <v>161</v>
      </c>
    </row>
    <row r="34" spans="1:16" ht="12.75" customHeight="1" thickBot="1" x14ac:dyDescent="0.25">
      <c r="A34" s="16" t="str">
        <f t="shared" si="0"/>
        <v>IBVS 6042 </v>
      </c>
      <c r="B34" s="5" t="str">
        <f t="shared" si="1"/>
        <v>I</v>
      </c>
      <c r="C34" s="16">
        <f t="shared" si="2"/>
        <v>56261.722000000002</v>
      </c>
      <c r="D34" s="12" t="str">
        <f t="shared" si="3"/>
        <v>vis</v>
      </c>
      <c r="E34" s="62">
        <f>VLOOKUP(C34,Active!C$21:E$973,3,FALSE)</f>
        <v>23961.777513855901</v>
      </c>
      <c r="F34" s="5" t="s">
        <v>77</v>
      </c>
      <c r="G34" s="12" t="str">
        <f t="shared" si="4"/>
        <v>56261.722</v>
      </c>
      <c r="H34" s="16">
        <f t="shared" si="5"/>
        <v>15969</v>
      </c>
      <c r="I34" s="63" t="s">
        <v>182</v>
      </c>
      <c r="J34" s="64" t="s">
        <v>183</v>
      </c>
      <c r="K34" s="63" t="s">
        <v>184</v>
      </c>
      <c r="L34" s="63" t="s">
        <v>185</v>
      </c>
      <c r="M34" s="64" t="s">
        <v>121</v>
      </c>
      <c r="N34" s="64" t="s">
        <v>77</v>
      </c>
      <c r="O34" s="65" t="s">
        <v>83</v>
      </c>
      <c r="P34" s="66" t="s">
        <v>186</v>
      </c>
    </row>
    <row r="35" spans="1:16" x14ac:dyDescent="0.2">
      <c r="B35" s="5"/>
      <c r="F35" s="5"/>
    </row>
    <row r="36" spans="1:16" x14ac:dyDescent="0.2">
      <c r="B36" s="5"/>
      <c r="F36" s="5"/>
    </row>
    <row r="37" spans="1:16" x14ac:dyDescent="0.2">
      <c r="B37" s="5"/>
      <c r="F37" s="5"/>
    </row>
    <row r="38" spans="1:16" x14ac:dyDescent="0.2">
      <c r="B38" s="5"/>
      <c r="F38" s="5"/>
    </row>
    <row r="39" spans="1:16" x14ac:dyDescent="0.2">
      <c r="B39" s="5"/>
      <c r="F39" s="5"/>
    </row>
    <row r="40" spans="1:16" x14ac:dyDescent="0.2">
      <c r="B40" s="5"/>
      <c r="F40" s="5"/>
    </row>
    <row r="41" spans="1:16" x14ac:dyDescent="0.2">
      <c r="B41" s="5"/>
      <c r="F41" s="5"/>
    </row>
    <row r="42" spans="1:16" x14ac:dyDescent="0.2">
      <c r="B42" s="5"/>
      <c r="F42" s="5"/>
    </row>
    <row r="43" spans="1:16" x14ac:dyDescent="0.2">
      <c r="B43" s="5"/>
      <c r="F43" s="5"/>
    </row>
    <row r="44" spans="1:16" x14ac:dyDescent="0.2">
      <c r="B44" s="5"/>
      <c r="F44" s="5"/>
    </row>
    <row r="45" spans="1:16" x14ac:dyDescent="0.2">
      <c r="B45" s="5"/>
      <c r="F45" s="5"/>
    </row>
    <row r="46" spans="1:16" x14ac:dyDescent="0.2">
      <c r="B46" s="5"/>
      <c r="F46" s="5"/>
    </row>
    <row r="47" spans="1:16" x14ac:dyDescent="0.2">
      <c r="B47" s="5"/>
      <c r="F47" s="5"/>
    </row>
    <row r="48" spans="1:16" x14ac:dyDescent="0.2">
      <c r="B48" s="5"/>
      <c r="F48" s="5"/>
    </row>
    <row r="49" spans="2:6" x14ac:dyDescent="0.2">
      <c r="B49" s="5"/>
      <c r="F49" s="5"/>
    </row>
    <row r="50" spans="2:6" x14ac:dyDescent="0.2">
      <c r="B50" s="5"/>
      <c r="F50" s="5"/>
    </row>
    <row r="51" spans="2:6" x14ac:dyDescent="0.2">
      <c r="B51" s="5"/>
      <c r="F51" s="5"/>
    </row>
    <row r="52" spans="2:6" x14ac:dyDescent="0.2">
      <c r="B52" s="5"/>
      <c r="F52" s="5"/>
    </row>
    <row r="53" spans="2:6" x14ac:dyDescent="0.2">
      <c r="B53" s="5"/>
      <c r="F53" s="5"/>
    </row>
    <row r="54" spans="2:6" x14ac:dyDescent="0.2">
      <c r="B54" s="5"/>
      <c r="F54" s="5"/>
    </row>
    <row r="55" spans="2:6" x14ac:dyDescent="0.2">
      <c r="B55" s="5"/>
      <c r="F55" s="5"/>
    </row>
    <row r="56" spans="2:6" x14ac:dyDescent="0.2">
      <c r="B56" s="5"/>
      <c r="F56" s="5"/>
    </row>
    <row r="57" spans="2:6" x14ac:dyDescent="0.2">
      <c r="B57" s="5"/>
      <c r="F57" s="5"/>
    </row>
    <row r="58" spans="2:6" x14ac:dyDescent="0.2">
      <c r="B58" s="5"/>
      <c r="F58" s="5"/>
    </row>
    <row r="59" spans="2:6" x14ac:dyDescent="0.2">
      <c r="B59" s="5"/>
      <c r="F59" s="5"/>
    </row>
    <row r="60" spans="2:6" x14ac:dyDescent="0.2">
      <c r="B60" s="5"/>
      <c r="F60" s="5"/>
    </row>
    <row r="61" spans="2:6" x14ac:dyDescent="0.2">
      <c r="B61" s="5"/>
      <c r="F61" s="5"/>
    </row>
    <row r="62" spans="2:6" x14ac:dyDescent="0.2">
      <c r="B62" s="5"/>
      <c r="F62" s="5"/>
    </row>
    <row r="63" spans="2:6" x14ac:dyDescent="0.2">
      <c r="B63" s="5"/>
      <c r="F63" s="5"/>
    </row>
    <row r="64" spans="2: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</sheetData>
  <phoneticPr fontId="8" type="noConversion"/>
  <hyperlinks>
    <hyperlink ref="A3" r:id="rId1"/>
    <hyperlink ref="P11" r:id="rId2" display="http://www.konkoly.hu/cgi-bin/IBVS?4531"/>
    <hyperlink ref="P17" r:id="rId3" display="http://var.astro.cz/oejv/issues/oejv0074.pdf"/>
    <hyperlink ref="P18" r:id="rId4" display="http://var.astro.cz/oejv/issues/oejv0074.pdf"/>
    <hyperlink ref="P19" r:id="rId5" display="http://var.astro.cz/oejv/issues/oejv0074.pdf"/>
    <hyperlink ref="P22" r:id="rId6" display="http://var.astro.cz/oejv/issues/oejv0003.pdf"/>
    <hyperlink ref="P23" r:id="rId7" display="http://www.bav-astro.de/sfs/BAVM_link.php?BAVMnr=178"/>
    <hyperlink ref="P32" r:id="rId8" display="http://www.bav-astro.de/sfs/BAVM_link.php?BAVMnr=212"/>
    <hyperlink ref="P33" r:id="rId9" display="http://www.bav-astro.de/sfs/BAVM_link.php?BAVMnr=212"/>
    <hyperlink ref="P24" r:id="rId10" display="http://www.konkoly.hu/cgi-bin/IBVS?5960"/>
    <hyperlink ref="P25" r:id="rId11" display="http://www.bav-astro.de/sfs/BAVM_link.php?BAVMnr=215"/>
    <hyperlink ref="P26" r:id="rId12" display="http://www.konkoly.hu/cgi-bin/IBVS?6011"/>
    <hyperlink ref="P34" r:id="rId13" display="http://www.konkoly.hu/cgi-bin/IBVS?604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2023-01-04T04:51:32Z</dcterms:modified>
</cp:coreProperties>
</file>