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67CA2CB-520E-4070-B6E0-55B91594FC03}" xr6:coauthVersionLast="47" xr6:coauthVersionMax="47" xr10:uidLastSave="{00000000-0000-0000-0000-000000000000}"/>
  <bookViews>
    <workbookView xWindow="14790" yWindow="780" windowWidth="13995" windowHeight="14430" xr2:uid="{00000000-000D-0000-FFFF-FFFF00000000}"/>
  </bookViews>
  <sheets>
    <sheet name="Active" sheetId="1" r:id="rId1"/>
    <sheet name="BAV" sheetId="3" r:id="rId2"/>
    <sheet name="A (old)" sheetId="2" r:id="rId3"/>
  </sheets>
  <calcPr calcId="181029"/>
</workbook>
</file>

<file path=xl/calcChain.xml><?xml version="1.0" encoding="utf-8"?>
<calcChain xmlns="http://schemas.openxmlformats.org/spreadsheetml/2006/main">
  <c r="E90" i="1" l="1"/>
  <c r="F90" i="1" s="1"/>
  <c r="G90" i="1" s="1"/>
  <c r="K90" i="1" s="1"/>
  <c r="Q90" i="1"/>
  <c r="E91" i="1"/>
  <c r="F91" i="1"/>
  <c r="G91" i="1" s="1"/>
  <c r="K91" i="1" s="1"/>
  <c r="Q91" i="1"/>
  <c r="E89" i="1"/>
  <c r="F89" i="1" s="1"/>
  <c r="G89" i="1" s="1"/>
  <c r="K89" i="1" s="1"/>
  <c r="Q89" i="1"/>
  <c r="E86" i="1"/>
  <c r="F86" i="1" s="1"/>
  <c r="G86" i="1" s="1"/>
  <c r="K86" i="1" s="1"/>
  <c r="Q86" i="1"/>
  <c r="E87" i="1"/>
  <c r="F87" i="1"/>
  <c r="G87" i="1" s="1"/>
  <c r="K87" i="1" s="1"/>
  <c r="Q87" i="1"/>
  <c r="E88" i="1"/>
  <c r="F88" i="1" s="1"/>
  <c r="G88" i="1" s="1"/>
  <c r="K88" i="1" s="1"/>
  <c r="Q88" i="1"/>
  <c r="Q84" i="1"/>
  <c r="Q85" i="1"/>
  <c r="D9" i="1"/>
  <c r="C9" i="1"/>
  <c r="Q21" i="1"/>
  <c r="Q22" i="1"/>
  <c r="Q23" i="1"/>
  <c r="Q25" i="1"/>
  <c r="Q26" i="1"/>
  <c r="Q27" i="1"/>
  <c r="Q28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8" i="1"/>
  <c r="Q59" i="1"/>
  <c r="Q63" i="1"/>
  <c r="Q72" i="1"/>
  <c r="Q74" i="1"/>
  <c r="Q79" i="1"/>
  <c r="G23" i="3"/>
  <c r="C23" i="3"/>
  <c r="G22" i="3"/>
  <c r="C22" i="3"/>
  <c r="G21" i="3"/>
  <c r="C21" i="3"/>
  <c r="G20" i="3"/>
  <c r="C20" i="3"/>
  <c r="G63" i="3"/>
  <c r="C63" i="3"/>
  <c r="G19" i="3"/>
  <c r="C19" i="3"/>
  <c r="G18" i="3"/>
  <c r="C18" i="3"/>
  <c r="G62" i="3"/>
  <c r="C62" i="3"/>
  <c r="G61" i="3"/>
  <c r="C61" i="3"/>
  <c r="G17" i="3"/>
  <c r="C17" i="3"/>
  <c r="G16" i="3"/>
  <c r="C16" i="3"/>
  <c r="G60" i="3"/>
  <c r="C60" i="3"/>
  <c r="G15" i="3"/>
  <c r="C15" i="3"/>
  <c r="G14" i="3"/>
  <c r="C14" i="3"/>
  <c r="G13" i="3"/>
  <c r="C13" i="3"/>
  <c r="G59" i="3"/>
  <c r="C59" i="3"/>
  <c r="G58" i="3"/>
  <c r="C58" i="3"/>
  <c r="G12" i="3"/>
  <c r="C12" i="3"/>
  <c r="G57" i="3"/>
  <c r="C57" i="3"/>
  <c r="G56" i="3"/>
  <c r="C56" i="3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11" i="3"/>
  <c r="C1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63" i="3"/>
  <c r="B63" i="3"/>
  <c r="D63" i="3"/>
  <c r="A63" i="3"/>
  <c r="H19" i="3"/>
  <c r="D19" i="3"/>
  <c r="B19" i="3"/>
  <c r="A19" i="3"/>
  <c r="H18" i="3"/>
  <c r="B18" i="3"/>
  <c r="D18" i="3"/>
  <c r="A18" i="3"/>
  <c r="H62" i="3"/>
  <c r="B62" i="3"/>
  <c r="D62" i="3"/>
  <c r="A62" i="3"/>
  <c r="H61" i="3"/>
  <c r="B61" i="3"/>
  <c r="D61" i="3"/>
  <c r="A61" i="3"/>
  <c r="H17" i="3"/>
  <c r="B17" i="3"/>
  <c r="D17" i="3"/>
  <c r="A17" i="3"/>
  <c r="H16" i="3"/>
  <c r="B16" i="3"/>
  <c r="D16" i="3"/>
  <c r="A16" i="3"/>
  <c r="H60" i="3"/>
  <c r="B60" i="3"/>
  <c r="D60" i="3"/>
  <c r="A60" i="3"/>
  <c r="H15" i="3"/>
  <c r="B15" i="3"/>
  <c r="D15" i="3"/>
  <c r="A15" i="3"/>
  <c r="H14" i="3"/>
  <c r="D14" i="3"/>
  <c r="B14" i="3"/>
  <c r="A14" i="3"/>
  <c r="H13" i="3"/>
  <c r="B13" i="3"/>
  <c r="D13" i="3"/>
  <c r="A13" i="3"/>
  <c r="H59" i="3"/>
  <c r="D59" i="3"/>
  <c r="B59" i="3"/>
  <c r="A59" i="3"/>
  <c r="H58" i="3"/>
  <c r="B58" i="3"/>
  <c r="D58" i="3"/>
  <c r="A58" i="3"/>
  <c r="H12" i="3"/>
  <c r="B12" i="3"/>
  <c r="D12" i="3"/>
  <c r="A12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B50" i="3"/>
  <c r="D50" i="3"/>
  <c r="A50" i="3"/>
  <c r="H49" i="3"/>
  <c r="B49" i="3"/>
  <c r="D49" i="3"/>
  <c r="A49" i="3"/>
  <c r="H48" i="3"/>
  <c r="B48" i="3"/>
  <c r="D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11" i="3"/>
  <c r="D11" i="3"/>
  <c r="B11" i="3"/>
  <c r="A11" i="3"/>
  <c r="H30" i="3"/>
  <c r="B30" i="3"/>
  <c r="D30" i="3"/>
  <c r="A30" i="3"/>
  <c r="H29" i="3"/>
  <c r="D29" i="3"/>
  <c r="B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Q80" i="1"/>
  <c r="Q83" i="1"/>
  <c r="Q60" i="1"/>
  <c r="Q82" i="1"/>
  <c r="F16" i="1"/>
  <c r="F17" i="1" s="1"/>
  <c r="C17" i="1"/>
  <c r="Q66" i="1"/>
  <c r="Q75" i="1"/>
  <c r="Q78" i="1"/>
  <c r="Q81" i="1"/>
  <c r="E21" i="1"/>
  <c r="F21" i="1" s="1"/>
  <c r="G21" i="1" s="1"/>
  <c r="I21" i="1" s="1"/>
  <c r="E80" i="1"/>
  <c r="F80" i="1" s="1"/>
  <c r="G80" i="1" s="1"/>
  <c r="J80" i="1" s="1"/>
  <c r="Q73" i="1"/>
  <c r="Q57" i="1"/>
  <c r="Q69" i="1"/>
  <c r="Q67" i="1"/>
  <c r="Q64" i="1"/>
  <c r="Q71" i="1"/>
  <c r="Q70" i="1"/>
  <c r="Q76" i="1"/>
  <c r="Q77" i="1"/>
  <c r="E22" i="2"/>
  <c r="F22" i="2"/>
  <c r="G22" i="2"/>
  <c r="J22" i="2"/>
  <c r="E23" i="2"/>
  <c r="F23" i="2"/>
  <c r="G23" i="2"/>
  <c r="I23" i="2"/>
  <c r="E24" i="2"/>
  <c r="F24" i="2"/>
  <c r="G24" i="2"/>
  <c r="I24" i="2"/>
  <c r="E25" i="2"/>
  <c r="F25" i="2"/>
  <c r="G25" i="2"/>
  <c r="J25" i="2"/>
  <c r="E26" i="2"/>
  <c r="F26" i="2"/>
  <c r="G26" i="2"/>
  <c r="J26" i="2"/>
  <c r="E21" i="2"/>
  <c r="F21" i="2"/>
  <c r="C17" i="2"/>
  <c r="Q21" i="2"/>
  <c r="Q22" i="2"/>
  <c r="Q23" i="2"/>
  <c r="Q24" i="2"/>
  <c r="Q25" i="2"/>
  <c r="Q26" i="2"/>
  <c r="Q68" i="1"/>
  <c r="Q29" i="1"/>
  <c r="Q65" i="1"/>
  <c r="Q61" i="1"/>
  <c r="Q62" i="1"/>
  <c r="Q24" i="1"/>
  <c r="C11" i="2"/>
  <c r="C12" i="2"/>
  <c r="C16" i="2"/>
  <c r="D18" i="2"/>
  <c r="E52" i="1"/>
  <c r="F52" i="1" s="1"/>
  <c r="G52" i="1" s="1"/>
  <c r="I52" i="1" s="1"/>
  <c r="E27" i="1"/>
  <c r="E20" i="3"/>
  <c r="E14" i="3"/>
  <c r="E44" i="1"/>
  <c r="E45" i="3" s="1"/>
  <c r="E84" i="1"/>
  <c r="F84" i="1" s="1"/>
  <c r="G84" i="1" s="1"/>
  <c r="K84" i="1" s="1"/>
  <c r="E25" i="1"/>
  <c r="F25" i="1" s="1"/>
  <c r="G25" i="1" s="1"/>
  <c r="I25" i="1" s="1"/>
  <c r="E34" i="1"/>
  <c r="E35" i="3" s="1"/>
  <c r="E42" i="1"/>
  <c r="F42" i="1" s="1"/>
  <c r="G42" i="1" s="1"/>
  <c r="I42" i="1" s="1"/>
  <c r="E50" i="1"/>
  <c r="F50" i="1" s="1"/>
  <c r="G50" i="1" s="1"/>
  <c r="I50" i="1" s="1"/>
  <c r="E59" i="1"/>
  <c r="F59" i="1" s="1"/>
  <c r="G59" i="1" s="1"/>
  <c r="J59" i="1" s="1"/>
  <c r="E77" i="1"/>
  <c r="F77" i="1" s="1"/>
  <c r="G77" i="1" s="1"/>
  <c r="K77" i="1" s="1"/>
  <c r="E71" i="1"/>
  <c r="F71" i="1" s="1"/>
  <c r="G71" i="1" s="1"/>
  <c r="K71" i="1" s="1"/>
  <c r="E28" i="1"/>
  <c r="F28" i="1" s="1"/>
  <c r="G28" i="1" s="1"/>
  <c r="J28" i="1" s="1"/>
  <c r="E37" i="1"/>
  <c r="E38" i="3" s="1"/>
  <c r="E45" i="1"/>
  <c r="E46" i="3" s="1"/>
  <c r="E53" i="1"/>
  <c r="F53" i="1" s="1"/>
  <c r="G53" i="1" s="1"/>
  <c r="I53" i="1" s="1"/>
  <c r="E74" i="1"/>
  <c r="F74" i="1" s="1"/>
  <c r="G74" i="1" s="1"/>
  <c r="K74" i="1" s="1"/>
  <c r="E61" i="1"/>
  <c r="F61" i="1" s="1"/>
  <c r="G61" i="1" s="1"/>
  <c r="I61" i="1" s="1"/>
  <c r="E81" i="1"/>
  <c r="F81" i="1" s="1"/>
  <c r="G81" i="1" s="1"/>
  <c r="K81" i="1" s="1"/>
  <c r="E24" i="1"/>
  <c r="F24" i="1" s="1"/>
  <c r="E69" i="1"/>
  <c r="F69" i="1" s="1"/>
  <c r="U69" i="1" s="1"/>
  <c r="E22" i="1"/>
  <c r="E32" i="1"/>
  <c r="E33" i="3" s="1"/>
  <c r="E40" i="1"/>
  <c r="F40" i="1" s="1"/>
  <c r="G40" i="1" s="1"/>
  <c r="I40" i="1" s="1"/>
  <c r="E48" i="1"/>
  <c r="E49" i="3" s="1"/>
  <c r="E56" i="1"/>
  <c r="F56" i="1" s="1"/>
  <c r="G56" i="1" s="1"/>
  <c r="I56" i="1" s="1"/>
  <c r="E65" i="1"/>
  <c r="E16" i="3" s="1"/>
  <c r="E60" i="1"/>
  <c r="F60" i="1" s="1"/>
  <c r="G60" i="1" s="1"/>
  <c r="I60" i="1" s="1"/>
  <c r="E26" i="1"/>
  <c r="F26" i="1" s="1"/>
  <c r="G26" i="1" s="1"/>
  <c r="I26" i="1" s="1"/>
  <c r="E35" i="1"/>
  <c r="F35" i="1" s="1"/>
  <c r="G35" i="1" s="1"/>
  <c r="I35" i="1" s="1"/>
  <c r="E43" i="1"/>
  <c r="E44" i="3" s="1"/>
  <c r="E51" i="1"/>
  <c r="F51" i="1" s="1"/>
  <c r="G51" i="1" s="1"/>
  <c r="I51" i="1" s="1"/>
  <c r="E63" i="1"/>
  <c r="F63" i="1" s="1"/>
  <c r="G63" i="1" s="1"/>
  <c r="K63" i="1" s="1"/>
  <c r="E78" i="1"/>
  <c r="F78" i="1" s="1"/>
  <c r="G78" i="1" s="1"/>
  <c r="J78" i="1" s="1"/>
  <c r="E73" i="1"/>
  <c r="F73" i="1" s="1"/>
  <c r="G73" i="1" s="1"/>
  <c r="K73" i="1" s="1"/>
  <c r="E66" i="1"/>
  <c r="F66" i="1" s="1"/>
  <c r="U66" i="1" s="1"/>
  <c r="E70" i="1"/>
  <c r="F70" i="1"/>
  <c r="U70" i="1" s="1"/>
  <c r="E85" i="1"/>
  <c r="F85" i="1"/>
  <c r="G85" i="1" s="1"/>
  <c r="K85" i="1" s="1"/>
  <c r="E30" i="1"/>
  <c r="F30" i="1"/>
  <c r="G30" i="1" s="1"/>
  <c r="I30" i="1" s="1"/>
  <c r="E38" i="1"/>
  <c r="F38" i="1" s="1"/>
  <c r="G38" i="1" s="1"/>
  <c r="I38" i="1" s="1"/>
  <c r="E46" i="1"/>
  <c r="F46" i="1" s="1"/>
  <c r="G46" i="1" s="1"/>
  <c r="I46" i="1" s="1"/>
  <c r="E54" i="1"/>
  <c r="E55" i="3" s="1"/>
  <c r="E79" i="1"/>
  <c r="F79" i="1" s="1"/>
  <c r="G79" i="1" s="1"/>
  <c r="J79" i="1" s="1"/>
  <c r="E62" i="1"/>
  <c r="F62" i="1" s="1"/>
  <c r="G62" i="1" s="1"/>
  <c r="J62" i="1" s="1"/>
  <c r="E82" i="1"/>
  <c r="E23" i="1"/>
  <c r="F23" i="1"/>
  <c r="G23" i="1" s="1"/>
  <c r="I23" i="1" s="1"/>
  <c r="E33" i="1"/>
  <c r="F33" i="1"/>
  <c r="G33" i="1" s="1"/>
  <c r="I33" i="1" s="1"/>
  <c r="E41" i="1"/>
  <c r="E49" i="1"/>
  <c r="E50" i="3" s="1"/>
  <c r="E58" i="1"/>
  <c r="F58" i="1" s="1"/>
  <c r="G58" i="1" s="1"/>
  <c r="J58" i="1" s="1"/>
  <c r="E68" i="1"/>
  <c r="E17" i="3" s="1"/>
  <c r="E57" i="1"/>
  <c r="E67" i="1"/>
  <c r="F67" i="1"/>
  <c r="U67" i="1" s="1"/>
  <c r="E76" i="1"/>
  <c r="F76" i="1" s="1"/>
  <c r="U76" i="1" s="1"/>
  <c r="E31" i="1"/>
  <c r="F31" i="1"/>
  <c r="G31" i="1" s="1"/>
  <c r="I31" i="1" s="1"/>
  <c r="E39" i="1"/>
  <c r="F39" i="1"/>
  <c r="G39" i="1" s="1"/>
  <c r="I39" i="1" s="1"/>
  <c r="E47" i="1"/>
  <c r="F47" i="1"/>
  <c r="G47" i="1" s="1"/>
  <c r="I47" i="1" s="1"/>
  <c r="E55" i="1"/>
  <c r="F55" i="1"/>
  <c r="G55" i="1" s="1"/>
  <c r="I55" i="1" s="1"/>
  <c r="E29" i="1"/>
  <c r="F29" i="1"/>
  <c r="G29" i="1" s="1"/>
  <c r="J29" i="1" s="1"/>
  <c r="E83" i="1"/>
  <c r="F83" i="1"/>
  <c r="G83" i="1" s="1"/>
  <c r="J83" i="1" s="1"/>
  <c r="E64" i="1"/>
  <c r="F64" i="1"/>
  <c r="U64" i="1" s="1"/>
  <c r="E36" i="3"/>
  <c r="E47" i="3"/>
  <c r="E52" i="3"/>
  <c r="E62" i="3"/>
  <c r="E75" i="1"/>
  <c r="F75" i="1"/>
  <c r="G75" i="1" s="1"/>
  <c r="K75" i="1" s="1"/>
  <c r="E53" i="3"/>
  <c r="E18" i="3"/>
  <c r="E72" i="1"/>
  <c r="F72" i="1" s="1"/>
  <c r="G72" i="1" s="1"/>
  <c r="K72" i="1" s="1"/>
  <c r="E43" i="3"/>
  <c r="E24" i="3"/>
  <c r="E48" i="3"/>
  <c r="E60" i="3"/>
  <c r="E36" i="1"/>
  <c r="F36" i="1" s="1"/>
  <c r="G36" i="1" s="1"/>
  <c r="I36" i="1" s="1"/>
  <c r="F27" i="1"/>
  <c r="G27" i="1"/>
  <c r="I27" i="1" s="1"/>
  <c r="E29" i="3"/>
  <c r="E59" i="3"/>
  <c r="E32" i="3"/>
  <c r="E31" i="3"/>
  <c r="F82" i="1"/>
  <c r="G82" i="1"/>
  <c r="J82" i="1" s="1"/>
  <c r="E22" i="3"/>
  <c r="E21" i="3"/>
  <c r="E11" i="3"/>
  <c r="E19" i="3"/>
  <c r="E61" i="3"/>
  <c r="E13" i="3"/>
  <c r="F57" i="1"/>
  <c r="G57" i="1"/>
  <c r="I57" i="1" s="1"/>
  <c r="E12" i="3"/>
  <c r="E42" i="3"/>
  <c r="F41" i="1"/>
  <c r="G41" i="1" s="1"/>
  <c r="I41" i="1" s="1"/>
  <c r="E39" i="3"/>
  <c r="E30" i="3"/>
  <c r="C15" i="2"/>
  <c r="C18" i="2"/>
  <c r="O22" i="2"/>
  <c r="O21" i="2"/>
  <c r="O24" i="2"/>
  <c r="O25" i="2"/>
  <c r="O23" i="2"/>
  <c r="O26" i="2"/>
  <c r="E57" i="3"/>
  <c r="E23" i="3"/>
  <c r="E51" i="3"/>
  <c r="E56" i="3"/>
  <c r="E34" i="3"/>
  <c r="F22" i="1"/>
  <c r="G22" i="1"/>
  <c r="I22" i="1" s="1"/>
  <c r="E25" i="3"/>
  <c r="E40" i="3"/>
  <c r="E58" i="3"/>
  <c r="E26" i="3"/>
  <c r="E63" i="3"/>
  <c r="E54" i="3"/>
  <c r="E27" i="3"/>
  <c r="F44" i="1" l="1"/>
  <c r="G44" i="1" s="1"/>
  <c r="I44" i="1" s="1"/>
  <c r="E15" i="3"/>
  <c r="E28" i="3"/>
  <c r="E37" i="3"/>
  <c r="F68" i="1"/>
  <c r="G68" i="1" s="1"/>
  <c r="K68" i="1" s="1"/>
  <c r="F49" i="1"/>
  <c r="G49" i="1" s="1"/>
  <c r="I49" i="1" s="1"/>
  <c r="F54" i="1"/>
  <c r="G54" i="1" s="1"/>
  <c r="I54" i="1" s="1"/>
  <c r="F43" i="1"/>
  <c r="G43" i="1" s="1"/>
  <c r="I43" i="1" s="1"/>
  <c r="F65" i="1"/>
  <c r="G65" i="1" s="1"/>
  <c r="J65" i="1" s="1"/>
  <c r="F48" i="1"/>
  <c r="G48" i="1" s="1"/>
  <c r="I48" i="1" s="1"/>
  <c r="F32" i="1"/>
  <c r="G32" i="1" s="1"/>
  <c r="F45" i="1"/>
  <c r="G45" i="1" s="1"/>
  <c r="I45" i="1" s="1"/>
  <c r="E41" i="3"/>
  <c r="F37" i="1"/>
  <c r="G37" i="1" s="1"/>
  <c r="I37" i="1" s="1"/>
  <c r="F34" i="1"/>
  <c r="G34" i="1" s="1"/>
  <c r="I34" i="1" s="1"/>
  <c r="C12" i="1"/>
  <c r="C11" i="1"/>
  <c r="O91" i="1" l="1"/>
  <c r="O90" i="1"/>
  <c r="O89" i="1"/>
  <c r="O87" i="1"/>
  <c r="O83" i="1"/>
  <c r="O44" i="1"/>
  <c r="O52" i="1"/>
  <c r="O72" i="1"/>
  <c r="O31" i="1"/>
  <c r="O39" i="1"/>
  <c r="O86" i="1"/>
  <c r="O36" i="1"/>
  <c r="O61" i="1"/>
  <c r="O71" i="1"/>
  <c r="O34" i="1"/>
  <c r="O42" i="1"/>
  <c r="O50" i="1"/>
  <c r="O59" i="1"/>
  <c r="O37" i="1"/>
  <c r="O53" i="1"/>
  <c r="O32" i="1"/>
  <c r="O84" i="1"/>
  <c r="O27" i="1"/>
  <c r="O81" i="1"/>
  <c r="O28" i="1"/>
  <c r="O45" i="1"/>
  <c r="O74" i="1"/>
  <c r="O58" i="1"/>
  <c r="O47" i="1"/>
  <c r="O55" i="1"/>
  <c r="O85" i="1"/>
  <c r="O56" i="1"/>
  <c r="O30" i="1"/>
  <c r="O38" i="1"/>
  <c r="O46" i="1"/>
  <c r="O54" i="1"/>
  <c r="O79" i="1"/>
  <c r="O66" i="1"/>
  <c r="O65" i="1"/>
  <c r="O78" i="1"/>
  <c r="O41" i="1"/>
  <c r="O60" i="1"/>
  <c r="O48" i="1"/>
  <c r="O64" i="1"/>
  <c r="O63" i="1"/>
  <c r="O69" i="1"/>
  <c r="O82" i="1"/>
  <c r="O80" i="1"/>
  <c r="O33" i="1"/>
  <c r="O40" i="1"/>
  <c r="O77" i="1"/>
  <c r="O57" i="1"/>
  <c r="O35" i="1"/>
  <c r="O75" i="1"/>
  <c r="O68" i="1"/>
  <c r="O73" i="1"/>
  <c r="O43" i="1"/>
  <c r="O88" i="1"/>
  <c r="O49" i="1"/>
  <c r="O62" i="1"/>
  <c r="O67" i="1"/>
  <c r="O29" i="1"/>
  <c r="O70" i="1"/>
  <c r="O51" i="1"/>
  <c r="O76" i="1"/>
  <c r="C15" i="1"/>
  <c r="C18" i="1" s="1"/>
  <c r="C16" i="1"/>
  <c r="D18" i="1" s="1"/>
  <c r="I32" i="1"/>
  <c r="F18" i="1" l="1"/>
  <c r="F19" i="1" s="1"/>
</calcChain>
</file>

<file path=xl/sharedStrings.xml><?xml version="1.0" encoding="utf-8"?>
<sst xmlns="http://schemas.openxmlformats.org/spreadsheetml/2006/main" count="667" uniqueCount="301">
  <si>
    <t>IBVS 6196</t>
  </si>
  <si>
    <t>0.0001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</si>
  <si>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</si>
  <si>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</si>
  <si>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</si>
  <si>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</si>
  <si>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</si>
  <si>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</si>
  <si>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</si>
  <si>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</si>
  <si>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</si>
  <si>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</si>
  <si>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</si>
  <si>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</si>
  <si>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</si>
  <si>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</si>
  <si>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</si>
  <si>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</si>
  <si>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</si>
  <si>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</si>
  <si>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</si>
  <si>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</si>
  <si>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</si>
  <si>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</si>
  <si>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</si>
  <si>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</si>
  <si>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</si>
  <si>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</si>
  <si>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</si>
  <si>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</si>
  <si>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</si>
  <si>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</si>
  <si>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Peter H</t>
  </si>
  <si>
    <t>BBSAG Bull.116</t>
  </si>
  <si>
    <t>B</t>
  </si>
  <si>
    <t>Blaettler E</t>
  </si>
  <si>
    <t>BBSAG</t>
  </si>
  <si>
    <t>IBVS 5484</t>
  </si>
  <si>
    <t>IBVS</t>
  </si>
  <si>
    <t>EA/SD</t>
  </si>
  <si>
    <t>IBVS 1255</t>
  </si>
  <si>
    <t># of data points:</t>
  </si>
  <si>
    <t>BZ Cas / gsc 4036-1572</t>
  </si>
  <si>
    <t>IBVS 5746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</si>
  <si>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</si>
  <si>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</si>
  <si>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</si>
  <si>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</si>
  <si>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</si>
  <si>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</si>
  <si>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</si>
  <si>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</si>
  <si>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OEJV 0060</t>
  </si>
  <si>
    <t>vis</t>
  </si>
  <si>
    <t>OEJV 0074</t>
  </si>
  <si>
    <t>IBVS 5754</t>
  </si>
  <si>
    <t>CCD</t>
  </si>
  <si>
    <t>II</t>
  </si>
  <si>
    <t>OEJV 0094</t>
  </si>
  <si>
    <t>??</t>
  </si>
  <si>
    <t>IBVS 5959</t>
  </si>
  <si>
    <t>IBVS 6011</t>
  </si>
  <si>
    <t>Add cycle</t>
  </si>
  <si>
    <t>Old Cycle</t>
  </si>
  <si>
    <t>IBVS 6042</t>
  </si>
  <si>
    <t>BAD?</t>
  </si>
  <si>
    <t>JAVSO..41..122</t>
  </si>
  <si>
    <t>IBVS 6118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</si>
  <si>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</si>
  <si>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</si>
  <si>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</si>
  <si>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</si>
  <si>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</si>
  <si>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</si>
  <si>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</si>
  <si>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</si>
  <si>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</si>
  <si>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</si>
  <si>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</si>
  <si>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</si>
  <si>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2425999.26 </t>
  </si>
  <si>
    <t> 22.01.1930 18:14 </t>
  </si>
  <si>
    <t> -0.08 </t>
  </si>
  <si>
    <t>P </t>
  </si>
  <si>
    <t> S.Beljawsky </t>
  </si>
  <si>
    <t> AC 22.8 </t>
  </si>
  <si>
    <t>2428521.281 </t>
  </si>
  <si>
    <t> 18.12.1936 18:44 </t>
  </si>
  <si>
    <t> O.Morgenroth </t>
  </si>
  <si>
    <t> AN 268.275 </t>
  </si>
  <si>
    <t>2429165.594 </t>
  </si>
  <si>
    <t> 24.09.1938 02:15 </t>
  </si>
  <si>
    <t> 0.001 </t>
  </si>
  <si>
    <t>2435708.623 </t>
  </si>
  <si>
    <t> 23.08.1956 02:57 </t>
  </si>
  <si>
    <t> 0.000 </t>
  </si>
  <si>
    <t> B.S.Whitney </t>
  </si>
  <si>
    <t> AJ 62.372 </t>
  </si>
  <si>
    <t>2435712.875 </t>
  </si>
  <si>
    <t> 27.08.1956 09:00 </t>
  </si>
  <si>
    <t> -0.001 </t>
  </si>
  <si>
    <t>2435725.634 </t>
  </si>
  <si>
    <t> 09.09.1956 03:12 </t>
  </si>
  <si>
    <t> -0.000 </t>
  </si>
  <si>
    <t>2439436.316 </t>
  </si>
  <si>
    <t> 06.11.1966 19:35 </t>
  </si>
  <si>
    <t> 0.058 </t>
  </si>
  <si>
    <t> K.Häussler </t>
  </si>
  <si>
    <t> HABZ 87 </t>
  </si>
  <si>
    <t>2439791.403 </t>
  </si>
  <si>
    <t> 27.10.1967 21:40 </t>
  </si>
  <si>
    <t> 0.031 </t>
  </si>
  <si>
    <t>V </t>
  </si>
  <si>
    <t> M.Winiarski </t>
  </si>
  <si>
    <t>IBVS 1255 </t>
  </si>
  <si>
    <t>2444837.487 </t>
  </si>
  <si>
    <t> 20.08.1981 23:41 </t>
  </si>
  <si>
    <t> 0.093 </t>
  </si>
  <si>
    <t> J.Manek </t>
  </si>
  <si>
    <t> BRNO 26 </t>
  </si>
  <si>
    <t>2444852.361 </t>
  </si>
  <si>
    <t> 04.09.1981 20:39 </t>
  </si>
  <si>
    <t> 0.082 </t>
  </si>
  <si>
    <t> V.Wagner </t>
  </si>
  <si>
    <t>2444854.490 </t>
  </si>
  <si>
    <t> 06.09.1981 23:45 </t>
  </si>
  <si>
    <t> 0.084 </t>
  </si>
  <si>
    <t>2444854.500 </t>
  </si>
  <si>
    <t> 07.09.1981 00:00 </t>
  </si>
  <si>
    <t> 0.094 </t>
  </si>
  <si>
    <t>2445609.397 </t>
  </si>
  <si>
    <t> 01.10.1983 21:31 </t>
  </si>
  <si>
    <t> 0.108 </t>
  </si>
  <si>
    <t> J.Borovicka </t>
  </si>
  <si>
    <t>2445609.403 </t>
  </si>
  <si>
    <t> 01.10.1983 21:40 </t>
  </si>
  <si>
    <t> 0.114 </t>
  </si>
  <si>
    <t>2445913.470 </t>
  </si>
  <si>
    <t> 31.07.1984 23:16 </t>
  </si>
  <si>
    <t> 0.101 </t>
  </si>
  <si>
    <t> D.Kalacova </t>
  </si>
  <si>
    <t> BRNO 27 </t>
  </si>
  <si>
    <t>2445913.477 </t>
  </si>
  <si>
    <t> 31.07.1984 23:26 </t>
  </si>
  <si>
    <t>2445913.482 </t>
  </si>
  <si>
    <t> 31.07.1984 23:34 </t>
  </si>
  <si>
    <t> 0.113 </t>
  </si>
  <si>
    <t> M.Lenz </t>
  </si>
  <si>
    <t>2446028.300 </t>
  </si>
  <si>
    <t> 23.11.1984 19:12 </t>
  </si>
  <si>
    <t> 0.104 </t>
  </si>
  <si>
    <t> R.Krejci </t>
  </si>
  <si>
    <t>2446028.306 </t>
  </si>
  <si>
    <t> 23.11.1984 19:20 </t>
  </si>
  <si>
    <t> 0.110 </t>
  </si>
  <si>
    <t> P.Hajek </t>
  </si>
  <si>
    <t>2446704.530 </t>
  </si>
  <si>
    <t> 01.10.1986 00:43 </t>
  </si>
  <si>
    <t> 0.129 </t>
  </si>
  <si>
    <t> BRNO 28 </t>
  </si>
  <si>
    <t>2446704.544 </t>
  </si>
  <si>
    <t> 01.10.1986 01:03 </t>
  </si>
  <si>
    <t> 0.143 </t>
  </si>
  <si>
    <t>2446717.289 </t>
  </si>
  <si>
    <t> 13.10.1986 18:56 </t>
  </si>
  <si>
    <t>2447006.477 </t>
  </si>
  <si>
    <t> 29.07.1987 23:26 </t>
  </si>
  <si>
    <t> 0.122 </t>
  </si>
  <si>
    <t> D.Benes </t>
  </si>
  <si>
    <t> BRNO 30 </t>
  </si>
  <si>
    <t>2447006.479 </t>
  </si>
  <si>
    <t> 29.07.1987 23:29 </t>
  </si>
  <si>
    <t> 0.124 </t>
  </si>
  <si>
    <t> A.Slatinsky </t>
  </si>
  <si>
    <t>2447006.480 </t>
  </si>
  <si>
    <t> 29.07.1987 23:31 </t>
  </si>
  <si>
    <t> 0.125 </t>
  </si>
  <si>
    <t> M.Zejda </t>
  </si>
  <si>
    <t>2447006.482 </t>
  </si>
  <si>
    <t> 29.07.1987 23:34 </t>
  </si>
  <si>
    <t> 0.127 </t>
  </si>
  <si>
    <t>2447006.484 </t>
  </si>
  <si>
    <t> 29.07.1987 23:36 </t>
  </si>
  <si>
    <t> V.Svoboda </t>
  </si>
  <si>
    <t>2447006.486 </t>
  </si>
  <si>
    <t> 29.07.1987 23:39 </t>
  </si>
  <si>
    <t> 0.131 </t>
  </si>
  <si>
    <t> L.Volny </t>
  </si>
  <si>
    <t>2447729.487 </t>
  </si>
  <si>
    <t> 21.07.1989 23:41 </t>
  </si>
  <si>
    <t> 0.146 </t>
  </si>
  <si>
    <t>2448486.506 </t>
  </si>
  <si>
    <t> 18.08.1991 00:08 </t>
  </si>
  <si>
    <t> 0.155 </t>
  </si>
  <si>
    <t> M.Major </t>
  </si>
  <si>
    <t> BRNO 31 </t>
  </si>
  <si>
    <t> J.Zahajsky </t>
  </si>
  <si>
    <t>2448503.518 </t>
  </si>
  <si>
    <t> 04.09.1991 00:25 </t>
  </si>
  <si>
    <t> F.Hroch </t>
  </si>
  <si>
    <t>2448503.521 </t>
  </si>
  <si>
    <t> 04.09.1991 00:30 </t>
  </si>
  <si>
    <t> 0.158 </t>
  </si>
  <si>
    <t>2448956.463 </t>
  </si>
  <si>
    <t> 29.11.1992 23:06 </t>
  </si>
  <si>
    <t> 0.171 </t>
  </si>
  <si>
    <t>2449630.547 </t>
  </si>
  <si>
    <t> 05.10.1994 01:07 </t>
  </si>
  <si>
    <t> 0.176 </t>
  </si>
  <si>
    <t> P.Molik </t>
  </si>
  <si>
    <t>OEJV 0060 </t>
  </si>
  <si>
    <t>2450672.5107 </t>
  </si>
  <si>
    <t> 12.08.1997 00:15 </t>
  </si>
  <si>
    <t> 0.1878 </t>
  </si>
  <si>
    <t> A.Stuhl </t>
  </si>
  <si>
    <t> BRNO 32 </t>
  </si>
  <si>
    <t>2450704.4134 </t>
  </si>
  <si>
    <t> 12.09.1997 21:55 </t>
  </si>
  <si>
    <t> 0.1941 </t>
  </si>
  <si>
    <t> J.Cechal </t>
  </si>
  <si>
    <t>2450717.169 </t>
  </si>
  <si>
    <t> 25.09.1997 16:03 </t>
  </si>
  <si>
    <t> 0.191 </t>
  </si>
  <si>
    <t> S.Cook </t>
  </si>
  <si>
    <t> JAAVSO 41;122 </t>
  </si>
  <si>
    <t>2450753.321 </t>
  </si>
  <si>
    <t> 31.10.1997 19:42 </t>
  </si>
  <si>
    <t> 0.194 </t>
  </si>
  <si>
    <t> H.Peter </t>
  </si>
  <si>
    <t> BBS 116 </t>
  </si>
  <si>
    <t>2450753.3255 </t>
  </si>
  <si>
    <t> 31.10.1997 19:48 </t>
  </si>
  <si>
    <t> 0.1982 </t>
  </si>
  <si>
    <t>E </t>
  </si>
  <si>
    <t>?</t>
  </si>
  <si>
    <t> E.Blättler </t>
  </si>
  <si>
    <t>2452118.5151 </t>
  </si>
  <si>
    <t> 28.07.2001 00:21 </t>
  </si>
  <si>
    <t> 0.2187 </t>
  </si>
  <si>
    <t> R.Diethelm </t>
  </si>
  <si>
    <t> BBS 126 </t>
  </si>
  <si>
    <t>2452505.5302 </t>
  </si>
  <si>
    <t> 19.08.2002 00:43 </t>
  </si>
  <si>
    <t> 0.2232 </t>
  </si>
  <si>
    <t>-I</t>
  </si>
  <si>
    <t> K.&amp; M.Rätz </t>
  </si>
  <si>
    <t>BAVM 158 </t>
  </si>
  <si>
    <t>2453998.3172 </t>
  </si>
  <si>
    <t> 19.09.2006 19:36 </t>
  </si>
  <si>
    <t>11522</t>
  </si>
  <si>
    <t> 0.2552 </t>
  </si>
  <si>
    <t> S. Dogru et al. </t>
  </si>
  <si>
    <t>IBVS 5746 </t>
  </si>
  <si>
    <t>2454536.3144 </t>
  </si>
  <si>
    <t> 10.03.2008 19:32 </t>
  </si>
  <si>
    <t>11775</t>
  </si>
  <si>
    <t> 0.2651 </t>
  </si>
  <si>
    <t>C </t>
  </si>
  <si>
    <t>R</t>
  </si>
  <si>
    <t> L.Šmelcer </t>
  </si>
  <si>
    <t>OEJV 0094 </t>
  </si>
  <si>
    <t>2454536.3151 </t>
  </si>
  <si>
    <t> 10.03.2008 19:33 </t>
  </si>
  <si>
    <t> 0.2658 </t>
  </si>
  <si>
    <t>2454761.7271 </t>
  </si>
  <si>
    <t> 22.10.2008 05:27 </t>
  </si>
  <si>
    <t>11881</t>
  </si>
  <si>
    <t> 0.2761 </t>
  </si>
  <si>
    <t>IBVS 5871 </t>
  </si>
  <si>
    <t>2454840.4030 </t>
  </si>
  <si>
    <t> 08.01.2009 21:40 </t>
  </si>
  <si>
    <t>11918</t>
  </si>
  <si>
    <t> 0.2740 </t>
  </si>
  <si>
    <t> M.Rätz &amp; K.Rätz </t>
  </si>
  <si>
    <t>BAVM 214 </t>
  </si>
  <si>
    <t>2455059.4279 </t>
  </si>
  <si>
    <t> 15.08.2009 22:16 </t>
  </si>
  <si>
    <t> 0.2764 </t>
  </si>
  <si>
    <t> F.Agerer </t>
  </si>
  <si>
    <t>BAVM 212 </t>
  </si>
  <si>
    <t>2455514.4964 </t>
  </si>
  <si>
    <t> 13.11.2010 23:54 </t>
  </si>
  <si>
    <t> 0.2886 </t>
  </si>
  <si>
    <t>BAVM 215 </t>
  </si>
  <si>
    <t>2455903.6352 </t>
  </si>
  <si>
    <t> 08.12.2011 03:14 </t>
  </si>
  <si>
    <t> 0.2903 </t>
  </si>
  <si>
    <t>IBVS 6011 </t>
  </si>
  <si>
    <t>2456273.6427 </t>
  </si>
  <si>
    <t> 12.12.2012 03:25 </t>
  </si>
  <si>
    <t> 0.2987 </t>
  </si>
  <si>
    <t>IBVS 6042 </t>
  </si>
  <si>
    <t>2456540.5134 </t>
  </si>
  <si>
    <t> 05.09.2013 00:19 </t>
  </si>
  <si>
    <t> 0.3023 </t>
  </si>
  <si>
    <t>BAVM 234 </t>
  </si>
  <si>
    <t>OEJV 0179</t>
  </si>
  <si>
    <t>JBAV, 60</t>
  </si>
  <si>
    <t>JAVSO, 50, 133</t>
  </si>
  <si>
    <t>JAAVSO 51, 134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</si>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</sst>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 Unicode MS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40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40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8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quotePrefix="1" applyAlignment="1"/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12" fillId="0" borderId="0" xfId="0" applyFo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22" fontId="11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0" applyFont="1" applyAlignment="1"/>
    <xf numFmtId="0" fontId="19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21" fillId="0" borderId="0" xfId="0" applyFont="1">
      <alignment vertical="top"/>
    </xf>
    <xf numFmtId="0" fontId="22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3" fillId="24" borderId="17" xfId="38" applyFill="1" applyBorder="1" applyAlignment="1" applyProtection="1">
      <alignment horizontal="right" vertical="top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9" fillId="0" borderId="0" xfId="42" applyFont="1" applyAlignment="1">
      <alignment wrapText="1"/>
    </xf>
    <xf numFmtId="0" fontId="39" fillId="0" borderId="0" xfId="42" applyFont="1" applyAlignment="1">
      <alignment horizontal="center" wrapText="1"/>
    </xf>
    <xf numFmtId="0" fontId="39" fillId="0" borderId="0" xfId="42" applyFont="1" applyAlignment="1">
      <alignment horizontal="left" wrapText="1"/>
    </xf>
    <xf numFmtId="0" fontId="39" fillId="0" borderId="0" xfId="43" applyFont="1"/>
    <xf numFmtId="0" fontId="39" fillId="0" borderId="0" xfId="43" applyFont="1" applyAlignment="1">
      <alignment horizontal="center"/>
    </xf>
    <xf numFmtId="0" fontId="39" fillId="0" borderId="0" xfId="43" applyFont="1" applyAlignment="1">
      <alignment horizontal="left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165" fontId="41" fillId="0" borderId="0" xfId="0" applyNumberFormat="1" applyFont="1" applyAlignment="1">
      <alignment vertical="center" wrapTex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 applyProtection="1">
      <alignment horizontal="left" vertical="center" wrapText="1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 applyAlignment="1" applyProtection="1">
      <alignment horizontal="center"/>
      <protection locked="0"/>
    </xf>
    <xf numFmtId="165" fontId="41" fillId="0" borderId="0" xfId="0" applyNumberFormat="1" applyFont="1" applyAlignment="1" applyProtection="1">
      <alignment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BZ Cas - O-C Diagr.</a:t>
            </a:r>
          </a:p>
        </c:rich>
      </c:tx>
      <c:layout>
        <c:manualLayout>
          <c:xMode val="edge"/>
          <c:yMode val="edge"/>
          <c:x val="0.3680561023622047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12436442796"/>
          <c:y val="0.14769252958613219"/>
          <c:w val="0.8090291494227929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-1645</c:v>
                </c:pt>
                <c:pt idx="1">
                  <c:v>-459</c:v>
                </c:pt>
                <c:pt idx="2">
                  <c:v>-156</c:v>
                </c:pt>
                <c:pt idx="3">
                  <c:v>0</c:v>
                </c:pt>
                <c:pt idx="4">
                  <c:v>2921</c:v>
                </c:pt>
                <c:pt idx="5">
                  <c:v>2923</c:v>
                </c:pt>
                <c:pt idx="6">
                  <c:v>2929</c:v>
                </c:pt>
                <c:pt idx="7">
                  <c:v>4674</c:v>
                </c:pt>
                <c:pt idx="8">
                  <c:v>4841</c:v>
                </c:pt>
                <c:pt idx="9">
                  <c:v>7214</c:v>
                </c:pt>
                <c:pt idx="10">
                  <c:v>7221</c:v>
                </c:pt>
                <c:pt idx="11">
                  <c:v>7222</c:v>
                </c:pt>
                <c:pt idx="12">
                  <c:v>7222</c:v>
                </c:pt>
                <c:pt idx="13">
                  <c:v>7577</c:v>
                </c:pt>
                <c:pt idx="14">
                  <c:v>7577</c:v>
                </c:pt>
                <c:pt idx="15">
                  <c:v>7720</c:v>
                </c:pt>
                <c:pt idx="16">
                  <c:v>7720</c:v>
                </c:pt>
                <c:pt idx="17">
                  <c:v>7720</c:v>
                </c:pt>
                <c:pt idx="18">
                  <c:v>7720</c:v>
                </c:pt>
                <c:pt idx="19">
                  <c:v>7774</c:v>
                </c:pt>
                <c:pt idx="20">
                  <c:v>7774</c:v>
                </c:pt>
                <c:pt idx="21">
                  <c:v>8092</c:v>
                </c:pt>
                <c:pt idx="22">
                  <c:v>8092</c:v>
                </c:pt>
                <c:pt idx="23">
                  <c:v>8098</c:v>
                </c:pt>
                <c:pt idx="24">
                  <c:v>8234</c:v>
                </c:pt>
                <c:pt idx="25">
                  <c:v>8234</c:v>
                </c:pt>
                <c:pt idx="26">
                  <c:v>8234</c:v>
                </c:pt>
                <c:pt idx="27">
                  <c:v>8234</c:v>
                </c:pt>
                <c:pt idx="28">
                  <c:v>8234</c:v>
                </c:pt>
                <c:pt idx="29">
                  <c:v>8234</c:v>
                </c:pt>
                <c:pt idx="30">
                  <c:v>8574</c:v>
                </c:pt>
                <c:pt idx="31">
                  <c:v>8930</c:v>
                </c:pt>
                <c:pt idx="32">
                  <c:v>8930</c:v>
                </c:pt>
                <c:pt idx="33">
                  <c:v>8938</c:v>
                </c:pt>
                <c:pt idx="34">
                  <c:v>8938</c:v>
                </c:pt>
                <c:pt idx="35">
                  <c:v>9151</c:v>
                </c:pt>
                <c:pt idx="36">
                  <c:v>9468</c:v>
                </c:pt>
                <c:pt idx="37">
                  <c:v>9958</c:v>
                </c:pt>
                <c:pt idx="38">
                  <c:v>9973</c:v>
                </c:pt>
                <c:pt idx="39">
                  <c:v>9979</c:v>
                </c:pt>
                <c:pt idx="40">
                  <c:v>9996</c:v>
                </c:pt>
                <c:pt idx="41">
                  <c:v>9996</c:v>
                </c:pt>
                <c:pt idx="42">
                  <c:v>10638</c:v>
                </c:pt>
                <c:pt idx="43">
                  <c:v>10638.5</c:v>
                </c:pt>
                <c:pt idx="44">
                  <c:v>10820</c:v>
                </c:pt>
                <c:pt idx="45">
                  <c:v>10954.5</c:v>
                </c:pt>
                <c:pt idx="46">
                  <c:v>11136</c:v>
                </c:pt>
                <c:pt idx="47">
                  <c:v>11522</c:v>
                </c:pt>
                <c:pt idx="48">
                  <c:v>11636</c:v>
                </c:pt>
                <c:pt idx="49">
                  <c:v>11758</c:v>
                </c:pt>
                <c:pt idx="50">
                  <c:v>11762</c:v>
                </c:pt>
                <c:pt idx="51">
                  <c:v>11775</c:v>
                </c:pt>
                <c:pt idx="52">
                  <c:v>11775</c:v>
                </c:pt>
                <c:pt idx="53">
                  <c:v>11775</c:v>
                </c:pt>
                <c:pt idx="54">
                  <c:v>11775</c:v>
                </c:pt>
                <c:pt idx="55">
                  <c:v>11784.5</c:v>
                </c:pt>
                <c:pt idx="56">
                  <c:v>11881</c:v>
                </c:pt>
                <c:pt idx="57">
                  <c:v>11918</c:v>
                </c:pt>
                <c:pt idx="58">
                  <c:v>12021</c:v>
                </c:pt>
                <c:pt idx="59">
                  <c:v>12235</c:v>
                </c:pt>
                <c:pt idx="60">
                  <c:v>12418</c:v>
                </c:pt>
                <c:pt idx="61">
                  <c:v>12592</c:v>
                </c:pt>
                <c:pt idx="62">
                  <c:v>12717.5</c:v>
                </c:pt>
                <c:pt idx="63">
                  <c:v>13058</c:v>
                </c:pt>
                <c:pt idx="64">
                  <c:v>13248</c:v>
                </c:pt>
                <c:pt idx="65">
                  <c:v>13927</c:v>
                </c:pt>
                <c:pt idx="66">
                  <c:v>14093</c:v>
                </c:pt>
                <c:pt idx="67">
                  <c:v>14132</c:v>
                </c:pt>
                <c:pt idx="68">
                  <c:v>14253</c:v>
                </c:pt>
                <c:pt idx="69">
                  <c:v>14311</c:v>
                </c:pt>
                <c:pt idx="70">
                  <c:v>14311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B-4F59-822B-D1367F31A3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-1645</c:v>
                </c:pt>
                <c:pt idx="1">
                  <c:v>-459</c:v>
                </c:pt>
                <c:pt idx="2">
                  <c:v>-156</c:v>
                </c:pt>
                <c:pt idx="3">
                  <c:v>0</c:v>
                </c:pt>
                <c:pt idx="4">
                  <c:v>2921</c:v>
                </c:pt>
                <c:pt idx="5">
                  <c:v>2923</c:v>
                </c:pt>
                <c:pt idx="6">
                  <c:v>2929</c:v>
                </c:pt>
                <c:pt idx="7">
                  <c:v>4674</c:v>
                </c:pt>
                <c:pt idx="8">
                  <c:v>4841</c:v>
                </c:pt>
                <c:pt idx="9">
                  <c:v>7214</c:v>
                </c:pt>
                <c:pt idx="10">
                  <c:v>7221</c:v>
                </c:pt>
                <c:pt idx="11">
                  <c:v>7222</c:v>
                </c:pt>
                <c:pt idx="12">
                  <c:v>7222</c:v>
                </c:pt>
                <c:pt idx="13">
                  <c:v>7577</c:v>
                </c:pt>
                <c:pt idx="14">
                  <c:v>7577</c:v>
                </c:pt>
                <c:pt idx="15">
                  <c:v>7720</c:v>
                </c:pt>
                <c:pt idx="16">
                  <c:v>7720</c:v>
                </c:pt>
                <c:pt idx="17">
                  <c:v>7720</c:v>
                </c:pt>
                <c:pt idx="18">
                  <c:v>7720</c:v>
                </c:pt>
                <c:pt idx="19">
                  <c:v>7774</c:v>
                </c:pt>
                <c:pt idx="20">
                  <c:v>7774</c:v>
                </c:pt>
                <c:pt idx="21">
                  <c:v>8092</c:v>
                </c:pt>
                <c:pt idx="22">
                  <c:v>8092</c:v>
                </c:pt>
                <c:pt idx="23">
                  <c:v>8098</c:v>
                </c:pt>
                <c:pt idx="24">
                  <c:v>8234</c:v>
                </c:pt>
                <c:pt idx="25">
                  <c:v>8234</c:v>
                </c:pt>
                <c:pt idx="26">
                  <c:v>8234</c:v>
                </c:pt>
                <c:pt idx="27">
                  <c:v>8234</c:v>
                </c:pt>
                <c:pt idx="28">
                  <c:v>8234</c:v>
                </c:pt>
                <c:pt idx="29">
                  <c:v>8234</c:v>
                </c:pt>
                <c:pt idx="30">
                  <c:v>8574</c:v>
                </c:pt>
                <c:pt idx="31">
                  <c:v>8930</c:v>
                </c:pt>
                <c:pt idx="32">
                  <c:v>8930</c:v>
                </c:pt>
                <c:pt idx="33">
                  <c:v>8938</c:v>
                </c:pt>
                <c:pt idx="34">
                  <c:v>8938</c:v>
                </c:pt>
                <c:pt idx="35">
                  <c:v>9151</c:v>
                </c:pt>
                <c:pt idx="36">
                  <c:v>9468</c:v>
                </c:pt>
                <c:pt idx="37">
                  <c:v>9958</c:v>
                </c:pt>
                <c:pt idx="38">
                  <c:v>9973</c:v>
                </c:pt>
                <c:pt idx="39">
                  <c:v>9979</c:v>
                </c:pt>
                <c:pt idx="40">
                  <c:v>9996</c:v>
                </c:pt>
                <c:pt idx="41">
                  <c:v>9996</c:v>
                </c:pt>
                <c:pt idx="42">
                  <c:v>10638</c:v>
                </c:pt>
                <c:pt idx="43">
                  <c:v>10638.5</c:v>
                </c:pt>
                <c:pt idx="44">
                  <c:v>10820</c:v>
                </c:pt>
                <c:pt idx="45">
                  <c:v>10954.5</c:v>
                </c:pt>
                <c:pt idx="46">
                  <c:v>11136</c:v>
                </c:pt>
                <c:pt idx="47">
                  <c:v>11522</c:v>
                </c:pt>
                <c:pt idx="48">
                  <c:v>11636</c:v>
                </c:pt>
                <c:pt idx="49">
                  <c:v>11758</c:v>
                </c:pt>
                <c:pt idx="50">
                  <c:v>11762</c:v>
                </c:pt>
                <c:pt idx="51">
                  <c:v>11775</c:v>
                </c:pt>
                <c:pt idx="52">
                  <c:v>11775</c:v>
                </c:pt>
                <c:pt idx="53">
                  <c:v>11775</c:v>
                </c:pt>
                <c:pt idx="54">
                  <c:v>11775</c:v>
                </c:pt>
                <c:pt idx="55">
                  <c:v>11784.5</c:v>
                </c:pt>
                <c:pt idx="56">
                  <c:v>11881</c:v>
                </c:pt>
                <c:pt idx="57">
                  <c:v>11918</c:v>
                </c:pt>
                <c:pt idx="58">
                  <c:v>12021</c:v>
                </c:pt>
                <c:pt idx="59">
                  <c:v>12235</c:v>
                </c:pt>
                <c:pt idx="60">
                  <c:v>12418</c:v>
                </c:pt>
                <c:pt idx="61">
                  <c:v>12592</c:v>
                </c:pt>
                <c:pt idx="62">
                  <c:v>12717.5</c:v>
                </c:pt>
                <c:pt idx="63">
                  <c:v>13058</c:v>
                </c:pt>
                <c:pt idx="64">
                  <c:v>13248</c:v>
                </c:pt>
                <c:pt idx="65">
                  <c:v>13927</c:v>
                </c:pt>
                <c:pt idx="66">
                  <c:v>14093</c:v>
                </c:pt>
                <c:pt idx="67">
                  <c:v>14132</c:v>
                </c:pt>
                <c:pt idx="68">
                  <c:v>14253</c:v>
                </c:pt>
                <c:pt idx="69">
                  <c:v>14311</c:v>
                </c:pt>
                <c:pt idx="70">
                  <c:v>14311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-7.5853500002267538E-2</c:v>
                </c:pt>
                <c:pt idx="1">
                  <c:v>-2.8496999984781723E-3</c:v>
                </c:pt>
                <c:pt idx="2">
                  <c:v>1.3452000021061394E-3</c:v>
                </c:pt>
                <c:pt idx="4">
                  <c:v>4.3000036384910345E-6</c:v>
                </c:pt>
                <c:pt idx="5">
                  <c:v>-8.5910000052535906E-4</c:v>
                </c:pt>
                <c:pt idx="6">
                  <c:v>-4.493000014917925E-4</c:v>
                </c:pt>
                <c:pt idx="9">
                  <c:v>9.2716200000722893E-2</c:v>
                </c:pt>
                <c:pt idx="10">
                  <c:v>8.1694300002709497E-2</c:v>
                </c:pt>
                <c:pt idx="11">
                  <c:v>8.4262600001238752E-2</c:v>
                </c:pt>
                <c:pt idx="12">
                  <c:v>9.426260000327602E-2</c:v>
                </c:pt>
                <c:pt idx="13">
                  <c:v>0.10800909999670694</c:v>
                </c:pt>
                <c:pt idx="14">
                  <c:v>0.1140090999979293</c:v>
                </c:pt>
                <c:pt idx="15">
                  <c:v>0.10127600000123493</c:v>
                </c:pt>
                <c:pt idx="16">
                  <c:v>0.10827599999902304</c:v>
                </c:pt>
                <c:pt idx="17">
                  <c:v>0.10827599999902304</c:v>
                </c:pt>
                <c:pt idx="18">
                  <c:v>0.11327600000367966</c:v>
                </c:pt>
                <c:pt idx="19">
                  <c:v>0.10396420000324724</c:v>
                </c:pt>
                <c:pt idx="20">
                  <c:v>0.10996419999719365</c:v>
                </c:pt>
                <c:pt idx="21">
                  <c:v>0.12868359999993118</c:v>
                </c:pt>
                <c:pt idx="22">
                  <c:v>0.14268360000278335</c:v>
                </c:pt>
                <c:pt idx="23">
                  <c:v>0.12909339999896474</c:v>
                </c:pt>
                <c:pt idx="24">
                  <c:v>0.12238220000290312</c:v>
                </c:pt>
                <c:pt idx="25">
                  <c:v>0.12438220000331057</c:v>
                </c:pt>
                <c:pt idx="26">
                  <c:v>0.12538220000715228</c:v>
                </c:pt>
                <c:pt idx="27">
                  <c:v>0.12738220000755973</c:v>
                </c:pt>
                <c:pt idx="28">
                  <c:v>0.12938220000069123</c:v>
                </c:pt>
                <c:pt idx="29">
                  <c:v>0.13138220000109868</c:v>
                </c:pt>
                <c:pt idx="30">
                  <c:v>0.14560419999907026</c:v>
                </c:pt>
                <c:pt idx="31">
                  <c:v>0.15491900000051828</c:v>
                </c:pt>
                <c:pt idx="32">
                  <c:v>0.15491900000051828</c:v>
                </c:pt>
                <c:pt idx="33">
                  <c:v>0.1554653999992297</c:v>
                </c:pt>
                <c:pt idx="34">
                  <c:v>0.15846540000347886</c:v>
                </c:pt>
                <c:pt idx="35">
                  <c:v>0.17051330000685994</c:v>
                </c:pt>
                <c:pt idx="36">
                  <c:v>0.17566440000518924</c:v>
                </c:pt>
                <c:pt idx="39">
                  <c:v>0.19106570000440115</c:v>
                </c:pt>
                <c:pt idx="40">
                  <c:v>0.1937268000037875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6B-4F59-822B-D1367F31A3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-1645</c:v>
                </c:pt>
                <c:pt idx="1">
                  <c:v>-459</c:v>
                </c:pt>
                <c:pt idx="2">
                  <c:v>-156</c:v>
                </c:pt>
                <c:pt idx="3">
                  <c:v>0</c:v>
                </c:pt>
                <c:pt idx="4">
                  <c:v>2921</c:v>
                </c:pt>
                <c:pt idx="5">
                  <c:v>2923</c:v>
                </c:pt>
                <c:pt idx="6">
                  <c:v>2929</c:v>
                </c:pt>
                <c:pt idx="7">
                  <c:v>4674</c:v>
                </c:pt>
                <c:pt idx="8">
                  <c:v>4841</c:v>
                </c:pt>
                <c:pt idx="9">
                  <c:v>7214</c:v>
                </c:pt>
                <c:pt idx="10">
                  <c:v>7221</c:v>
                </c:pt>
                <c:pt idx="11">
                  <c:v>7222</c:v>
                </c:pt>
                <c:pt idx="12">
                  <c:v>7222</c:v>
                </c:pt>
                <c:pt idx="13">
                  <c:v>7577</c:v>
                </c:pt>
                <c:pt idx="14">
                  <c:v>7577</c:v>
                </c:pt>
                <c:pt idx="15">
                  <c:v>7720</c:v>
                </c:pt>
                <c:pt idx="16">
                  <c:v>7720</c:v>
                </c:pt>
                <c:pt idx="17">
                  <c:v>7720</c:v>
                </c:pt>
                <c:pt idx="18">
                  <c:v>7720</c:v>
                </c:pt>
                <c:pt idx="19">
                  <c:v>7774</c:v>
                </c:pt>
                <c:pt idx="20">
                  <c:v>7774</c:v>
                </c:pt>
                <c:pt idx="21">
                  <c:v>8092</c:v>
                </c:pt>
                <c:pt idx="22">
                  <c:v>8092</c:v>
                </c:pt>
                <c:pt idx="23">
                  <c:v>8098</c:v>
                </c:pt>
                <c:pt idx="24">
                  <c:v>8234</c:v>
                </c:pt>
                <c:pt idx="25">
                  <c:v>8234</c:v>
                </c:pt>
                <c:pt idx="26">
                  <c:v>8234</c:v>
                </c:pt>
                <c:pt idx="27">
                  <c:v>8234</c:v>
                </c:pt>
                <c:pt idx="28">
                  <c:v>8234</c:v>
                </c:pt>
                <c:pt idx="29">
                  <c:v>8234</c:v>
                </c:pt>
                <c:pt idx="30">
                  <c:v>8574</c:v>
                </c:pt>
                <c:pt idx="31">
                  <c:v>8930</c:v>
                </c:pt>
                <c:pt idx="32">
                  <c:v>8930</c:v>
                </c:pt>
                <c:pt idx="33">
                  <c:v>8938</c:v>
                </c:pt>
                <c:pt idx="34">
                  <c:v>8938</c:v>
                </c:pt>
                <c:pt idx="35">
                  <c:v>9151</c:v>
                </c:pt>
                <c:pt idx="36">
                  <c:v>9468</c:v>
                </c:pt>
                <c:pt idx="37">
                  <c:v>9958</c:v>
                </c:pt>
                <c:pt idx="38">
                  <c:v>9973</c:v>
                </c:pt>
                <c:pt idx="39">
                  <c:v>9979</c:v>
                </c:pt>
                <c:pt idx="40">
                  <c:v>9996</c:v>
                </c:pt>
                <c:pt idx="41">
                  <c:v>9996</c:v>
                </c:pt>
                <c:pt idx="42">
                  <c:v>10638</c:v>
                </c:pt>
                <c:pt idx="43">
                  <c:v>10638.5</c:v>
                </c:pt>
                <c:pt idx="44">
                  <c:v>10820</c:v>
                </c:pt>
                <c:pt idx="45">
                  <c:v>10954.5</c:v>
                </c:pt>
                <c:pt idx="46">
                  <c:v>11136</c:v>
                </c:pt>
                <c:pt idx="47">
                  <c:v>11522</c:v>
                </c:pt>
                <c:pt idx="48">
                  <c:v>11636</c:v>
                </c:pt>
                <c:pt idx="49">
                  <c:v>11758</c:v>
                </c:pt>
                <c:pt idx="50">
                  <c:v>11762</c:v>
                </c:pt>
                <c:pt idx="51">
                  <c:v>11775</c:v>
                </c:pt>
                <c:pt idx="52">
                  <c:v>11775</c:v>
                </c:pt>
                <c:pt idx="53">
                  <c:v>11775</c:v>
                </c:pt>
                <c:pt idx="54">
                  <c:v>11775</c:v>
                </c:pt>
                <c:pt idx="55">
                  <c:v>11784.5</c:v>
                </c:pt>
                <c:pt idx="56">
                  <c:v>11881</c:v>
                </c:pt>
                <c:pt idx="57">
                  <c:v>11918</c:v>
                </c:pt>
                <c:pt idx="58">
                  <c:v>12021</c:v>
                </c:pt>
                <c:pt idx="59">
                  <c:v>12235</c:v>
                </c:pt>
                <c:pt idx="60">
                  <c:v>12418</c:v>
                </c:pt>
                <c:pt idx="61">
                  <c:v>12592</c:v>
                </c:pt>
                <c:pt idx="62">
                  <c:v>12717.5</c:v>
                </c:pt>
                <c:pt idx="63">
                  <c:v>13058</c:v>
                </c:pt>
                <c:pt idx="64">
                  <c:v>13248</c:v>
                </c:pt>
                <c:pt idx="65">
                  <c:v>13927</c:v>
                </c:pt>
                <c:pt idx="66">
                  <c:v>14093</c:v>
                </c:pt>
                <c:pt idx="67">
                  <c:v>14132</c:v>
                </c:pt>
                <c:pt idx="68">
                  <c:v>14253</c:v>
                </c:pt>
                <c:pt idx="69">
                  <c:v>14311</c:v>
                </c:pt>
                <c:pt idx="70">
                  <c:v>14311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7">
                  <c:v>5.8234199997968972E-2</c:v>
                </c:pt>
                <c:pt idx="8">
                  <c:v>3.1140300001425203E-2</c:v>
                </c:pt>
                <c:pt idx="37">
                  <c:v>0.18783140000596177</c:v>
                </c:pt>
                <c:pt idx="38">
                  <c:v>0.19405589999951189</c:v>
                </c:pt>
                <c:pt idx="41">
                  <c:v>0.19822679999924731</c:v>
                </c:pt>
                <c:pt idx="44">
                  <c:v>0.2232060000023921</c:v>
                </c:pt>
                <c:pt idx="57">
                  <c:v>0.27399940000032075</c:v>
                </c:pt>
                <c:pt idx="58">
                  <c:v>0.27643430000898661</c:v>
                </c:pt>
                <c:pt idx="59">
                  <c:v>0.28855050000129268</c:v>
                </c:pt>
                <c:pt idx="61">
                  <c:v>0.29873360000055982</c:v>
                </c:pt>
                <c:pt idx="62">
                  <c:v>0.30225525000423659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6B-4F59-822B-D1367F31A3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-1645</c:v>
                </c:pt>
                <c:pt idx="1">
                  <c:v>-459</c:v>
                </c:pt>
                <c:pt idx="2">
                  <c:v>-156</c:v>
                </c:pt>
                <c:pt idx="3">
                  <c:v>0</c:v>
                </c:pt>
                <c:pt idx="4">
                  <c:v>2921</c:v>
                </c:pt>
                <c:pt idx="5">
                  <c:v>2923</c:v>
                </c:pt>
                <c:pt idx="6">
                  <c:v>2929</c:v>
                </c:pt>
                <c:pt idx="7">
                  <c:v>4674</c:v>
                </c:pt>
                <c:pt idx="8">
                  <c:v>4841</c:v>
                </c:pt>
                <c:pt idx="9">
                  <c:v>7214</c:v>
                </c:pt>
                <c:pt idx="10">
                  <c:v>7221</c:v>
                </c:pt>
                <c:pt idx="11">
                  <c:v>7222</c:v>
                </c:pt>
                <c:pt idx="12">
                  <c:v>7222</c:v>
                </c:pt>
                <c:pt idx="13">
                  <c:v>7577</c:v>
                </c:pt>
                <c:pt idx="14">
                  <c:v>7577</c:v>
                </c:pt>
                <c:pt idx="15">
                  <c:v>7720</c:v>
                </c:pt>
                <c:pt idx="16">
                  <c:v>7720</c:v>
                </c:pt>
                <c:pt idx="17">
                  <c:v>7720</c:v>
                </c:pt>
                <c:pt idx="18">
                  <c:v>7720</c:v>
                </c:pt>
                <c:pt idx="19">
                  <c:v>7774</c:v>
                </c:pt>
                <c:pt idx="20">
                  <c:v>7774</c:v>
                </c:pt>
                <c:pt idx="21">
                  <c:v>8092</c:v>
                </c:pt>
                <c:pt idx="22">
                  <c:v>8092</c:v>
                </c:pt>
                <c:pt idx="23">
                  <c:v>8098</c:v>
                </c:pt>
                <c:pt idx="24">
                  <c:v>8234</c:v>
                </c:pt>
                <c:pt idx="25">
                  <c:v>8234</c:v>
                </c:pt>
                <c:pt idx="26">
                  <c:v>8234</c:v>
                </c:pt>
                <c:pt idx="27">
                  <c:v>8234</c:v>
                </c:pt>
                <c:pt idx="28">
                  <c:v>8234</c:v>
                </c:pt>
                <c:pt idx="29">
                  <c:v>8234</c:v>
                </c:pt>
                <c:pt idx="30">
                  <c:v>8574</c:v>
                </c:pt>
                <c:pt idx="31">
                  <c:v>8930</c:v>
                </c:pt>
                <c:pt idx="32">
                  <c:v>8930</c:v>
                </c:pt>
                <c:pt idx="33">
                  <c:v>8938</c:v>
                </c:pt>
                <c:pt idx="34">
                  <c:v>8938</c:v>
                </c:pt>
                <c:pt idx="35">
                  <c:v>9151</c:v>
                </c:pt>
                <c:pt idx="36">
                  <c:v>9468</c:v>
                </c:pt>
                <c:pt idx="37">
                  <c:v>9958</c:v>
                </c:pt>
                <c:pt idx="38">
                  <c:v>9973</c:v>
                </c:pt>
                <c:pt idx="39">
                  <c:v>9979</c:v>
                </c:pt>
                <c:pt idx="40">
                  <c:v>9996</c:v>
                </c:pt>
                <c:pt idx="41">
                  <c:v>9996</c:v>
                </c:pt>
                <c:pt idx="42">
                  <c:v>10638</c:v>
                </c:pt>
                <c:pt idx="43">
                  <c:v>10638.5</c:v>
                </c:pt>
                <c:pt idx="44">
                  <c:v>10820</c:v>
                </c:pt>
                <c:pt idx="45">
                  <c:v>10954.5</c:v>
                </c:pt>
                <c:pt idx="46">
                  <c:v>11136</c:v>
                </c:pt>
                <c:pt idx="47">
                  <c:v>11522</c:v>
                </c:pt>
                <c:pt idx="48">
                  <c:v>11636</c:v>
                </c:pt>
                <c:pt idx="49">
                  <c:v>11758</c:v>
                </c:pt>
                <c:pt idx="50">
                  <c:v>11762</c:v>
                </c:pt>
                <c:pt idx="51">
                  <c:v>11775</c:v>
                </c:pt>
                <c:pt idx="52">
                  <c:v>11775</c:v>
                </c:pt>
                <c:pt idx="53">
                  <c:v>11775</c:v>
                </c:pt>
                <c:pt idx="54">
                  <c:v>11775</c:v>
                </c:pt>
                <c:pt idx="55">
                  <c:v>11784.5</c:v>
                </c:pt>
                <c:pt idx="56">
                  <c:v>11881</c:v>
                </c:pt>
                <c:pt idx="57">
                  <c:v>11918</c:v>
                </c:pt>
                <c:pt idx="58">
                  <c:v>12021</c:v>
                </c:pt>
                <c:pt idx="59">
                  <c:v>12235</c:v>
                </c:pt>
                <c:pt idx="60">
                  <c:v>12418</c:v>
                </c:pt>
                <c:pt idx="61">
                  <c:v>12592</c:v>
                </c:pt>
                <c:pt idx="62">
                  <c:v>12717.5</c:v>
                </c:pt>
                <c:pt idx="63">
                  <c:v>13058</c:v>
                </c:pt>
                <c:pt idx="64">
                  <c:v>13248</c:v>
                </c:pt>
                <c:pt idx="65">
                  <c:v>13927</c:v>
                </c:pt>
                <c:pt idx="66">
                  <c:v>14093</c:v>
                </c:pt>
                <c:pt idx="67">
                  <c:v>14132</c:v>
                </c:pt>
                <c:pt idx="68">
                  <c:v>14253</c:v>
                </c:pt>
                <c:pt idx="69">
                  <c:v>14311</c:v>
                </c:pt>
                <c:pt idx="70">
                  <c:v>14311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42">
                  <c:v>0.21867539999948349</c:v>
                </c:pt>
                <c:pt idx="47">
                  <c:v>0.25515259999519913</c:v>
                </c:pt>
                <c:pt idx="50">
                  <c:v>0.25930460000381572</c:v>
                </c:pt>
                <c:pt idx="51">
                  <c:v>0.26513250000425614</c:v>
                </c:pt>
                <c:pt idx="52">
                  <c:v>0.26517250000324566</c:v>
                </c:pt>
                <c:pt idx="53">
                  <c:v>0.26583250000112457</c:v>
                </c:pt>
                <c:pt idx="54">
                  <c:v>0.26587250000011409</c:v>
                </c:pt>
                <c:pt idx="56">
                  <c:v>0.27607230000285199</c:v>
                </c:pt>
                <c:pt idx="60">
                  <c:v>0.29034939999837661</c:v>
                </c:pt>
                <c:pt idx="63">
                  <c:v>0.32066140000097221</c:v>
                </c:pt>
                <c:pt idx="64">
                  <c:v>0.32332840000162832</c:v>
                </c:pt>
                <c:pt idx="65">
                  <c:v>0.35031410000374308</c:v>
                </c:pt>
                <c:pt idx="66">
                  <c:v>0.35895190000155708</c:v>
                </c:pt>
                <c:pt idx="67">
                  <c:v>0.35971559999597957</c:v>
                </c:pt>
                <c:pt idx="68">
                  <c:v>0.35897989999648416</c:v>
                </c:pt>
                <c:pt idx="69">
                  <c:v>0.36504130022512982</c:v>
                </c:pt>
                <c:pt idx="70">
                  <c:v>0.36574129996733973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6B-4F59-822B-D1367F31A3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-1645</c:v>
                </c:pt>
                <c:pt idx="1">
                  <c:v>-459</c:v>
                </c:pt>
                <c:pt idx="2">
                  <c:v>-156</c:v>
                </c:pt>
                <c:pt idx="3">
                  <c:v>0</c:v>
                </c:pt>
                <c:pt idx="4">
                  <c:v>2921</c:v>
                </c:pt>
                <c:pt idx="5">
                  <c:v>2923</c:v>
                </c:pt>
                <c:pt idx="6">
                  <c:v>2929</c:v>
                </c:pt>
                <c:pt idx="7">
                  <c:v>4674</c:v>
                </c:pt>
                <c:pt idx="8">
                  <c:v>4841</c:v>
                </c:pt>
                <c:pt idx="9">
                  <c:v>7214</c:v>
                </c:pt>
                <c:pt idx="10">
                  <c:v>7221</c:v>
                </c:pt>
                <c:pt idx="11">
                  <c:v>7222</c:v>
                </c:pt>
                <c:pt idx="12">
                  <c:v>7222</c:v>
                </c:pt>
                <c:pt idx="13">
                  <c:v>7577</c:v>
                </c:pt>
                <c:pt idx="14">
                  <c:v>7577</c:v>
                </c:pt>
                <c:pt idx="15">
                  <c:v>7720</c:v>
                </c:pt>
                <c:pt idx="16">
                  <c:v>7720</c:v>
                </c:pt>
                <c:pt idx="17">
                  <c:v>7720</c:v>
                </c:pt>
                <c:pt idx="18">
                  <c:v>7720</c:v>
                </c:pt>
                <c:pt idx="19">
                  <c:v>7774</c:v>
                </c:pt>
                <c:pt idx="20">
                  <c:v>7774</c:v>
                </c:pt>
                <c:pt idx="21">
                  <c:v>8092</c:v>
                </c:pt>
                <c:pt idx="22">
                  <c:v>8092</c:v>
                </c:pt>
                <c:pt idx="23">
                  <c:v>8098</c:v>
                </c:pt>
                <c:pt idx="24">
                  <c:v>8234</c:v>
                </c:pt>
                <c:pt idx="25">
                  <c:v>8234</c:v>
                </c:pt>
                <c:pt idx="26">
                  <c:v>8234</c:v>
                </c:pt>
                <c:pt idx="27">
                  <c:v>8234</c:v>
                </c:pt>
                <c:pt idx="28">
                  <c:v>8234</c:v>
                </c:pt>
                <c:pt idx="29">
                  <c:v>8234</c:v>
                </c:pt>
                <c:pt idx="30">
                  <c:v>8574</c:v>
                </c:pt>
                <c:pt idx="31">
                  <c:v>8930</c:v>
                </c:pt>
                <c:pt idx="32">
                  <c:v>8930</c:v>
                </c:pt>
                <c:pt idx="33">
                  <c:v>8938</c:v>
                </c:pt>
                <c:pt idx="34">
                  <c:v>8938</c:v>
                </c:pt>
                <c:pt idx="35">
                  <c:v>9151</c:v>
                </c:pt>
                <c:pt idx="36">
                  <c:v>9468</c:v>
                </c:pt>
                <c:pt idx="37">
                  <c:v>9958</c:v>
                </c:pt>
                <c:pt idx="38">
                  <c:v>9973</c:v>
                </c:pt>
                <c:pt idx="39">
                  <c:v>9979</c:v>
                </c:pt>
                <c:pt idx="40">
                  <c:v>9996</c:v>
                </c:pt>
                <c:pt idx="41">
                  <c:v>9996</c:v>
                </c:pt>
                <c:pt idx="42">
                  <c:v>10638</c:v>
                </c:pt>
                <c:pt idx="43">
                  <c:v>10638.5</c:v>
                </c:pt>
                <c:pt idx="44">
                  <c:v>10820</c:v>
                </c:pt>
                <c:pt idx="45">
                  <c:v>10954.5</c:v>
                </c:pt>
                <c:pt idx="46">
                  <c:v>11136</c:v>
                </c:pt>
                <c:pt idx="47">
                  <c:v>11522</c:v>
                </c:pt>
                <c:pt idx="48">
                  <c:v>11636</c:v>
                </c:pt>
                <c:pt idx="49">
                  <c:v>11758</c:v>
                </c:pt>
                <c:pt idx="50">
                  <c:v>11762</c:v>
                </c:pt>
                <c:pt idx="51">
                  <c:v>11775</c:v>
                </c:pt>
                <c:pt idx="52">
                  <c:v>11775</c:v>
                </c:pt>
                <c:pt idx="53">
                  <c:v>11775</c:v>
                </c:pt>
                <c:pt idx="54">
                  <c:v>11775</c:v>
                </c:pt>
                <c:pt idx="55">
                  <c:v>11784.5</c:v>
                </c:pt>
                <c:pt idx="56">
                  <c:v>11881</c:v>
                </c:pt>
                <c:pt idx="57">
                  <c:v>11918</c:v>
                </c:pt>
                <c:pt idx="58">
                  <c:v>12021</c:v>
                </c:pt>
                <c:pt idx="59">
                  <c:v>12235</c:v>
                </c:pt>
                <c:pt idx="60">
                  <c:v>12418</c:v>
                </c:pt>
                <c:pt idx="61">
                  <c:v>12592</c:v>
                </c:pt>
                <c:pt idx="62">
                  <c:v>12717.5</c:v>
                </c:pt>
                <c:pt idx="63">
                  <c:v>13058</c:v>
                </c:pt>
                <c:pt idx="64">
                  <c:v>13248</c:v>
                </c:pt>
                <c:pt idx="65">
                  <c:v>13927</c:v>
                </c:pt>
                <c:pt idx="66">
                  <c:v>14093</c:v>
                </c:pt>
                <c:pt idx="67">
                  <c:v>14132</c:v>
                </c:pt>
                <c:pt idx="68">
                  <c:v>14253</c:v>
                </c:pt>
                <c:pt idx="69">
                  <c:v>14311</c:v>
                </c:pt>
                <c:pt idx="70">
                  <c:v>14311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6B-4F59-822B-D1367F31A3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-1645</c:v>
                </c:pt>
                <c:pt idx="1">
                  <c:v>-459</c:v>
                </c:pt>
                <c:pt idx="2">
                  <c:v>-156</c:v>
                </c:pt>
                <c:pt idx="3">
                  <c:v>0</c:v>
                </c:pt>
                <c:pt idx="4">
                  <c:v>2921</c:v>
                </c:pt>
                <c:pt idx="5">
                  <c:v>2923</c:v>
                </c:pt>
                <c:pt idx="6">
                  <c:v>2929</c:v>
                </c:pt>
                <c:pt idx="7">
                  <c:v>4674</c:v>
                </c:pt>
                <c:pt idx="8">
                  <c:v>4841</c:v>
                </c:pt>
                <c:pt idx="9">
                  <c:v>7214</c:v>
                </c:pt>
                <c:pt idx="10">
                  <c:v>7221</c:v>
                </c:pt>
                <c:pt idx="11">
                  <c:v>7222</c:v>
                </c:pt>
                <c:pt idx="12">
                  <c:v>7222</c:v>
                </c:pt>
                <c:pt idx="13">
                  <c:v>7577</c:v>
                </c:pt>
                <c:pt idx="14">
                  <c:v>7577</c:v>
                </c:pt>
                <c:pt idx="15">
                  <c:v>7720</c:v>
                </c:pt>
                <c:pt idx="16">
                  <c:v>7720</c:v>
                </c:pt>
                <c:pt idx="17">
                  <c:v>7720</c:v>
                </c:pt>
                <c:pt idx="18">
                  <c:v>7720</c:v>
                </c:pt>
                <c:pt idx="19">
                  <c:v>7774</c:v>
                </c:pt>
                <c:pt idx="20">
                  <c:v>7774</c:v>
                </c:pt>
                <c:pt idx="21">
                  <c:v>8092</c:v>
                </c:pt>
                <c:pt idx="22">
                  <c:v>8092</c:v>
                </c:pt>
                <c:pt idx="23">
                  <c:v>8098</c:v>
                </c:pt>
                <c:pt idx="24">
                  <c:v>8234</c:v>
                </c:pt>
                <c:pt idx="25">
                  <c:v>8234</c:v>
                </c:pt>
                <c:pt idx="26">
                  <c:v>8234</c:v>
                </c:pt>
                <c:pt idx="27">
                  <c:v>8234</c:v>
                </c:pt>
                <c:pt idx="28">
                  <c:v>8234</c:v>
                </c:pt>
                <c:pt idx="29">
                  <c:v>8234</c:v>
                </c:pt>
                <c:pt idx="30">
                  <c:v>8574</c:v>
                </c:pt>
                <c:pt idx="31">
                  <c:v>8930</c:v>
                </c:pt>
                <c:pt idx="32">
                  <c:v>8930</c:v>
                </c:pt>
                <c:pt idx="33">
                  <c:v>8938</c:v>
                </c:pt>
                <c:pt idx="34">
                  <c:v>8938</c:v>
                </c:pt>
                <c:pt idx="35">
                  <c:v>9151</c:v>
                </c:pt>
                <c:pt idx="36">
                  <c:v>9468</c:v>
                </c:pt>
                <c:pt idx="37">
                  <c:v>9958</c:v>
                </c:pt>
                <c:pt idx="38">
                  <c:v>9973</c:v>
                </c:pt>
                <c:pt idx="39">
                  <c:v>9979</c:v>
                </c:pt>
                <c:pt idx="40">
                  <c:v>9996</c:v>
                </c:pt>
                <c:pt idx="41">
                  <c:v>9996</c:v>
                </c:pt>
                <c:pt idx="42">
                  <c:v>10638</c:v>
                </c:pt>
                <c:pt idx="43">
                  <c:v>10638.5</c:v>
                </c:pt>
                <c:pt idx="44">
                  <c:v>10820</c:v>
                </c:pt>
                <c:pt idx="45">
                  <c:v>10954.5</c:v>
                </c:pt>
                <c:pt idx="46">
                  <c:v>11136</c:v>
                </c:pt>
                <c:pt idx="47">
                  <c:v>11522</c:v>
                </c:pt>
                <c:pt idx="48">
                  <c:v>11636</c:v>
                </c:pt>
                <c:pt idx="49">
                  <c:v>11758</c:v>
                </c:pt>
                <c:pt idx="50">
                  <c:v>11762</c:v>
                </c:pt>
                <c:pt idx="51">
                  <c:v>11775</c:v>
                </c:pt>
                <c:pt idx="52">
                  <c:v>11775</c:v>
                </c:pt>
                <c:pt idx="53">
                  <c:v>11775</c:v>
                </c:pt>
                <c:pt idx="54">
                  <c:v>11775</c:v>
                </c:pt>
                <c:pt idx="55">
                  <c:v>11784.5</c:v>
                </c:pt>
                <c:pt idx="56">
                  <c:v>11881</c:v>
                </c:pt>
                <c:pt idx="57">
                  <c:v>11918</c:v>
                </c:pt>
                <c:pt idx="58">
                  <c:v>12021</c:v>
                </c:pt>
                <c:pt idx="59">
                  <c:v>12235</c:v>
                </c:pt>
                <c:pt idx="60">
                  <c:v>12418</c:v>
                </c:pt>
                <c:pt idx="61">
                  <c:v>12592</c:v>
                </c:pt>
                <c:pt idx="62">
                  <c:v>12717.5</c:v>
                </c:pt>
                <c:pt idx="63">
                  <c:v>13058</c:v>
                </c:pt>
                <c:pt idx="64">
                  <c:v>13248</c:v>
                </c:pt>
                <c:pt idx="65">
                  <c:v>13927</c:v>
                </c:pt>
                <c:pt idx="66">
                  <c:v>14093</c:v>
                </c:pt>
                <c:pt idx="67">
                  <c:v>14132</c:v>
                </c:pt>
                <c:pt idx="68">
                  <c:v>14253</c:v>
                </c:pt>
                <c:pt idx="69">
                  <c:v>14311</c:v>
                </c:pt>
                <c:pt idx="70">
                  <c:v>14311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6B-4F59-822B-D1367F31A3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5.0000000000000001E-3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40">
                    <c:v>8.0000000000000002E-3</c:v>
                  </c:pt>
                  <c:pt idx="41">
                    <c:v>8.0000000000000004E-4</c:v>
                  </c:pt>
                  <c:pt idx="42">
                    <c:v>0</c:v>
                  </c:pt>
                  <c:pt idx="43">
                    <c:v>0</c:v>
                  </c:pt>
                  <c:pt idx="44">
                    <c:v>1E-4</c:v>
                  </c:pt>
                  <c:pt idx="45">
                    <c:v>5.0000000000000001E-3</c:v>
                  </c:pt>
                  <c:pt idx="46">
                    <c:v>8.9999999999999998E-4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1E-4</c:v>
                  </c:pt>
                  <c:pt idx="50">
                    <c:v>5.0000000000000001E-4</c:v>
                  </c:pt>
                  <c:pt idx="51">
                    <c:v>0</c:v>
                  </c:pt>
                  <c:pt idx="52">
                    <c:v>4.0000000000000002E-4</c:v>
                  </c:pt>
                  <c:pt idx="53">
                    <c:v>0</c:v>
                  </c:pt>
                  <c:pt idx="54">
                    <c:v>2.0000000000000001E-4</c:v>
                  </c:pt>
                  <c:pt idx="55">
                    <c:v>2.9999999999999997E-4</c:v>
                  </c:pt>
                  <c:pt idx="56">
                    <c:v>5.0000000000000001E-4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3.5000000000000001E-3</c:v>
                  </c:pt>
                  <c:pt idx="60">
                    <c:v>5.9999999999999995E-4</c:v>
                  </c:pt>
                  <c:pt idx="61">
                    <c:v>4.0000000000000002E-4</c:v>
                  </c:pt>
                  <c:pt idx="62">
                    <c:v>8.8999999999999999E-3</c:v>
                  </c:pt>
                  <c:pt idx="63">
                    <c:v>0</c:v>
                  </c:pt>
                  <c:pt idx="64">
                    <c:v>2.9999999999999997E-4</c:v>
                  </c:pt>
                  <c:pt idx="65">
                    <c:v>1.5E-3</c:v>
                  </c:pt>
                  <c:pt idx="66">
                    <c:v>8.0000000000000004E-4</c:v>
                  </c:pt>
                  <c:pt idx="67">
                    <c:v>1E-4</c:v>
                  </c:pt>
                  <c:pt idx="6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-1645</c:v>
                </c:pt>
                <c:pt idx="1">
                  <c:v>-459</c:v>
                </c:pt>
                <c:pt idx="2">
                  <c:v>-156</c:v>
                </c:pt>
                <c:pt idx="3">
                  <c:v>0</c:v>
                </c:pt>
                <c:pt idx="4">
                  <c:v>2921</c:v>
                </c:pt>
                <c:pt idx="5">
                  <c:v>2923</c:v>
                </c:pt>
                <c:pt idx="6">
                  <c:v>2929</c:v>
                </c:pt>
                <c:pt idx="7">
                  <c:v>4674</c:v>
                </c:pt>
                <c:pt idx="8">
                  <c:v>4841</c:v>
                </c:pt>
                <c:pt idx="9">
                  <c:v>7214</c:v>
                </c:pt>
                <c:pt idx="10">
                  <c:v>7221</c:v>
                </c:pt>
                <c:pt idx="11">
                  <c:v>7222</c:v>
                </c:pt>
                <c:pt idx="12">
                  <c:v>7222</c:v>
                </c:pt>
                <c:pt idx="13">
                  <c:v>7577</c:v>
                </c:pt>
                <c:pt idx="14">
                  <c:v>7577</c:v>
                </c:pt>
                <c:pt idx="15">
                  <c:v>7720</c:v>
                </c:pt>
                <c:pt idx="16">
                  <c:v>7720</c:v>
                </c:pt>
                <c:pt idx="17">
                  <c:v>7720</c:v>
                </c:pt>
                <c:pt idx="18">
                  <c:v>7720</c:v>
                </c:pt>
                <c:pt idx="19">
                  <c:v>7774</c:v>
                </c:pt>
                <c:pt idx="20">
                  <c:v>7774</c:v>
                </c:pt>
                <c:pt idx="21">
                  <c:v>8092</c:v>
                </c:pt>
                <c:pt idx="22">
                  <c:v>8092</c:v>
                </c:pt>
                <c:pt idx="23">
                  <c:v>8098</c:v>
                </c:pt>
                <c:pt idx="24">
                  <c:v>8234</c:v>
                </c:pt>
                <c:pt idx="25">
                  <c:v>8234</c:v>
                </c:pt>
                <c:pt idx="26">
                  <c:v>8234</c:v>
                </c:pt>
                <c:pt idx="27">
                  <c:v>8234</c:v>
                </c:pt>
                <c:pt idx="28">
                  <c:v>8234</c:v>
                </c:pt>
                <c:pt idx="29">
                  <c:v>8234</c:v>
                </c:pt>
                <c:pt idx="30">
                  <c:v>8574</c:v>
                </c:pt>
                <c:pt idx="31">
                  <c:v>8930</c:v>
                </c:pt>
                <c:pt idx="32">
                  <c:v>8930</c:v>
                </c:pt>
                <c:pt idx="33">
                  <c:v>8938</c:v>
                </c:pt>
                <c:pt idx="34">
                  <c:v>8938</c:v>
                </c:pt>
                <c:pt idx="35">
                  <c:v>9151</c:v>
                </c:pt>
                <c:pt idx="36">
                  <c:v>9468</c:v>
                </c:pt>
                <c:pt idx="37">
                  <c:v>9958</c:v>
                </c:pt>
                <c:pt idx="38">
                  <c:v>9973</c:v>
                </c:pt>
                <c:pt idx="39">
                  <c:v>9979</c:v>
                </c:pt>
                <c:pt idx="40">
                  <c:v>9996</c:v>
                </c:pt>
                <c:pt idx="41">
                  <c:v>9996</c:v>
                </c:pt>
                <c:pt idx="42">
                  <c:v>10638</c:v>
                </c:pt>
                <c:pt idx="43">
                  <c:v>10638.5</c:v>
                </c:pt>
                <c:pt idx="44">
                  <c:v>10820</c:v>
                </c:pt>
                <c:pt idx="45">
                  <c:v>10954.5</c:v>
                </c:pt>
                <c:pt idx="46">
                  <c:v>11136</c:v>
                </c:pt>
                <c:pt idx="47">
                  <c:v>11522</c:v>
                </c:pt>
                <c:pt idx="48">
                  <c:v>11636</c:v>
                </c:pt>
                <c:pt idx="49">
                  <c:v>11758</c:v>
                </c:pt>
                <c:pt idx="50">
                  <c:v>11762</c:v>
                </c:pt>
                <c:pt idx="51">
                  <c:v>11775</c:v>
                </c:pt>
                <c:pt idx="52">
                  <c:v>11775</c:v>
                </c:pt>
                <c:pt idx="53">
                  <c:v>11775</c:v>
                </c:pt>
                <c:pt idx="54">
                  <c:v>11775</c:v>
                </c:pt>
                <c:pt idx="55">
                  <c:v>11784.5</c:v>
                </c:pt>
                <c:pt idx="56">
                  <c:v>11881</c:v>
                </c:pt>
                <c:pt idx="57">
                  <c:v>11918</c:v>
                </c:pt>
                <c:pt idx="58">
                  <c:v>12021</c:v>
                </c:pt>
                <c:pt idx="59">
                  <c:v>12235</c:v>
                </c:pt>
                <c:pt idx="60">
                  <c:v>12418</c:v>
                </c:pt>
                <c:pt idx="61">
                  <c:v>12592</c:v>
                </c:pt>
                <c:pt idx="62">
                  <c:v>12717.5</c:v>
                </c:pt>
                <c:pt idx="63">
                  <c:v>13058</c:v>
                </c:pt>
                <c:pt idx="64">
                  <c:v>13248</c:v>
                </c:pt>
                <c:pt idx="65">
                  <c:v>13927</c:v>
                </c:pt>
                <c:pt idx="66">
                  <c:v>14093</c:v>
                </c:pt>
                <c:pt idx="67">
                  <c:v>14132</c:v>
                </c:pt>
                <c:pt idx="68">
                  <c:v>14253</c:v>
                </c:pt>
                <c:pt idx="69">
                  <c:v>14311</c:v>
                </c:pt>
                <c:pt idx="70">
                  <c:v>14311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6B-4F59-822B-D1367F31A3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-1645</c:v>
                </c:pt>
                <c:pt idx="1">
                  <c:v>-459</c:v>
                </c:pt>
                <c:pt idx="2">
                  <c:v>-156</c:v>
                </c:pt>
                <c:pt idx="3">
                  <c:v>0</c:v>
                </c:pt>
                <c:pt idx="4">
                  <c:v>2921</c:v>
                </c:pt>
                <c:pt idx="5">
                  <c:v>2923</c:v>
                </c:pt>
                <c:pt idx="6">
                  <c:v>2929</c:v>
                </c:pt>
                <c:pt idx="7">
                  <c:v>4674</c:v>
                </c:pt>
                <c:pt idx="8">
                  <c:v>4841</c:v>
                </c:pt>
                <c:pt idx="9">
                  <c:v>7214</c:v>
                </c:pt>
                <c:pt idx="10">
                  <c:v>7221</c:v>
                </c:pt>
                <c:pt idx="11">
                  <c:v>7222</c:v>
                </c:pt>
                <c:pt idx="12">
                  <c:v>7222</c:v>
                </c:pt>
                <c:pt idx="13">
                  <c:v>7577</c:v>
                </c:pt>
                <c:pt idx="14">
                  <c:v>7577</c:v>
                </c:pt>
                <c:pt idx="15">
                  <c:v>7720</c:v>
                </c:pt>
                <c:pt idx="16">
                  <c:v>7720</c:v>
                </c:pt>
                <c:pt idx="17">
                  <c:v>7720</c:v>
                </c:pt>
                <c:pt idx="18">
                  <c:v>7720</c:v>
                </c:pt>
                <c:pt idx="19">
                  <c:v>7774</c:v>
                </c:pt>
                <c:pt idx="20">
                  <c:v>7774</c:v>
                </c:pt>
                <c:pt idx="21">
                  <c:v>8092</c:v>
                </c:pt>
                <c:pt idx="22">
                  <c:v>8092</c:v>
                </c:pt>
                <c:pt idx="23">
                  <c:v>8098</c:v>
                </c:pt>
                <c:pt idx="24">
                  <c:v>8234</c:v>
                </c:pt>
                <c:pt idx="25">
                  <c:v>8234</c:v>
                </c:pt>
                <c:pt idx="26">
                  <c:v>8234</c:v>
                </c:pt>
                <c:pt idx="27">
                  <c:v>8234</c:v>
                </c:pt>
                <c:pt idx="28">
                  <c:v>8234</c:v>
                </c:pt>
                <c:pt idx="29">
                  <c:v>8234</c:v>
                </c:pt>
                <c:pt idx="30">
                  <c:v>8574</c:v>
                </c:pt>
                <c:pt idx="31">
                  <c:v>8930</c:v>
                </c:pt>
                <c:pt idx="32">
                  <c:v>8930</c:v>
                </c:pt>
                <c:pt idx="33">
                  <c:v>8938</c:v>
                </c:pt>
                <c:pt idx="34">
                  <c:v>8938</c:v>
                </c:pt>
                <c:pt idx="35">
                  <c:v>9151</c:v>
                </c:pt>
                <c:pt idx="36">
                  <c:v>9468</c:v>
                </c:pt>
                <c:pt idx="37">
                  <c:v>9958</c:v>
                </c:pt>
                <c:pt idx="38">
                  <c:v>9973</c:v>
                </c:pt>
                <c:pt idx="39">
                  <c:v>9979</c:v>
                </c:pt>
                <c:pt idx="40">
                  <c:v>9996</c:v>
                </c:pt>
                <c:pt idx="41">
                  <c:v>9996</c:v>
                </c:pt>
                <c:pt idx="42">
                  <c:v>10638</c:v>
                </c:pt>
                <c:pt idx="43">
                  <c:v>10638.5</c:v>
                </c:pt>
                <c:pt idx="44">
                  <c:v>10820</c:v>
                </c:pt>
                <c:pt idx="45">
                  <c:v>10954.5</c:v>
                </c:pt>
                <c:pt idx="46">
                  <c:v>11136</c:v>
                </c:pt>
                <c:pt idx="47">
                  <c:v>11522</c:v>
                </c:pt>
                <c:pt idx="48">
                  <c:v>11636</c:v>
                </c:pt>
                <c:pt idx="49">
                  <c:v>11758</c:v>
                </c:pt>
                <c:pt idx="50">
                  <c:v>11762</c:v>
                </c:pt>
                <c:pt idx="51">
                  <c:v>11775</c:v>
                </c:pt>
                <c:pt idx="52">
                  <c:v>11775</c:v>
                </c:pt>
                <c:pt idx="53">
                  <c:v>11775</c:v>
                </c:pt>
                <c:pt idx="54">
                  <c:v>11775</c:v>
                </c:pt>
                <c:pt idx="55">
                  <c:v>11784.5</c:v>
                </c:pt>
                <c:pt idx="56">
                  <c:v>11881</c:v>
                </c:pt>
                <c:pt idx="57">
                  <c:v>11918</c:v>
                </c:pt>
                <c:pt idx="58">
                  <c:v>12021</c:v>
                </c:pt>
                <c:pt idx="59">
                  <c:v>12235</c:v>
                </c:pt>
                <c:pt idx="60">
                  <c:v>12418</c:v>
                </c:pt>
                <c:pt idx="61">
                  <c:v>12592</c:v>
                </c:pt>
                <c:pt idx="62">
                  <c:v>12717.5</c:v>
                </c:pt>
                <c:pt idx="63">
                  <c:v>13058</c:v>
                </c:pt>
                <c:pt idx="64">
                  <c:v>13248</c:v>
                </c:pt>
                <c:pt idx="65">
                  <c:v>13927</c:v>
                </c:pt>
                <c:pt idx="66">
                  <c:v>14093</c:v>
                </c:pt>
                <c:pt idx="67">
                  <c:v>14132</c:v>
                </c:pt>
                <c:pt idx="68">
                  <c:v>14253</c:v>
                </c:pt>
                <c:pt idx="69">
                  <c:v>14311</c:v>
                </c:pt>
                <c:pt idx="70">
                  <c:v>14311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6">
                  <c:v>-7.6584798066657939E-2</c:v>
                </c:pt>
                <c:pt idx="7">
                  <c:v>-8.9514914013656688E-3</c:v>
                </c:pt>
                <c:pt idx="8">
                  <c:v>-2.4788482993004513E-3</c:v>
                </c:pt>
                <c:pt idx="9">
                  <c:v>8.9494697097111303E-2</c:v>
                </c:pt>
                <c:pt idx="10">
                  <c:v>8.9766005490611062E-2</c:v>
                </c:pt>
                <c:pt idx="11">
                  <c:v>8.9804763832539575E-2</c:v>
                </c:pt>
                <c:pt idx="12">
                  <c:v>8.9804763832539575E-2</c:v>
                </c:pt>
                <c:pt idx="13">
                  <c:v>0.10356397521716923</c:v>
                </c:pt>
                <c:pt idx="14">
                  <c:v>0.10356397521716923</c:v>
                </c:pt>
                <c:pt idx="15">
                  <c:v>0.1091064181129496</c:v>
                </c:pt>
                <c:pt idx="16">
                  <c:v>0.1091064181129496</c:v>
                </c:pt>
                <c:pt idx="17">
                  <c:v>0.1091064181129496</c:v>
                </c:pt>
                <c:pt idx="18">
                  <c:v>0.1091064181129496</c:v>
                </c:pt>
                <c:pt idx="19">
                  <c:v>0.11119936857709048</c:v>
                </c:pt>
                <c:pt idx="20">
                  <c:v>0.11119936857709048</c:v>
                </c:pt>
                <c:pt idx="21">
                  <c:v>0.12352452131036437</c:v>
                </c:pt>
                <c:pt idx="22">
                  <c:v>0.12352452131036437</c:v>
                </c:pt>
                <c:pt idx="23">
                  <c:v>0.12375707136193556</c:v>
                </c:pt>
                <c:pt idx="24">
                  <c:v>0.12902820586421623</c:v>
                </c:pt>
                <c:pt idx="25">
                  <c:v>0.12902820586421623</c:v>
                </c:pt>
                <c:pt idx="26">
                  <c:v>0.12902820586421623</c:v>
                </c:pt>
                <c:pt idx="27">
                  <c:v>0.12902820586421623</c:v>
                </c:pt>
                <c:pt idx="28">
                  <c:v>0.12902820586421623</c:v>
                </c:pt>
                <c:pt idx="29">
                  <c:v>0.12902820586421623</c:v>
                </c:pt>
                <c:pt idx="30">
                  <c:v>0.14220604211991786</c:v>
                </c:pt>
                <c:pt idx="31">
                  <c:v>0.15600401184647608</c:v>
                </c:pt>
                <c:pt idx="32">
                  <c:v>0.15600401184647608</c:v>
                </c:pt>
                <c:pt idx="33">
                  <c:v>0.15631407858190435</c:v>
                </c:pt>
                <c:pt idx="34">
                  <c:v>0.15631407858190435</c:v>
                </c:pt>
                <c:pt idx="35">
                  <c:v>0.16456960541268215</c:v>
                </c:pt>
                <c:pt idx="36">
                  <c:v>0.17685599980402747</c:v>
                </c:pt>
                <c:pt idx="37">
                  <c:v>0.19584758734900928</c:v>
                </c:pt>
                <c:pt idx="38">
                  <c:v>0.19642896247793726</c:v>
                </c:pt>
                <c:pt idx="39">
                  <c:v>0.1966615125295085</c:v>
                </c:pt>
                <c:pt idx="40">
                  <c:v>0.19732040434229356</c:v>
                </c:pt>
                <c:pt idx="41">
                  <c:v>0.19732040434229356</c:v>
                </c:pt>
                <c:pt idx="42">
                  <c:v>0.22220325986041253</c:v>
                </c:pt>
                <c:pt idx="43">
                  <c:v>0.22222263903137682</c:v>
                </c:pt>
                <c:pt idx="44">
                  <c:v>0.22925727809140581</c:v>
                </c:pt>
                <c:pt idx="45">
                  <c:v>0.23447027508079363</c:v>
                </c:pt>
                <c:pt idx="46">
                  <c:v>0.24150491414082262</c:v>
                </c:pt>
                <c:pt idx="47">
                  <c:v>0.25646563412523682</c:v>
                </c:pt>
                <c:pt idx="48">
                  <c:v>0.26088408510508976</c:v>
                </c:pt>
                <c:pt idx="49">
                  <c:v>0.26561260282037091</c:v>
                </c:pt>
                <c:pt idx="50">
                  <c:v>0.26576763618808508</c:v>
                </c:pt>
                <c:pt idx="51">
                  <c:v>0.26627149463315603</c:v>
                </c:pt>
                <c:pt idx="52">
                  <c:v>0.26627149463315603</c:v>
                </c:pt>
                <c:pt idx="53">
                  <c:v>0.26627149463315603</c:v>
                </c:pt>
                <c:pt idx="54">
                  <c:v>0.26627149463315603</c:v>
                </c:pt>
                <c:pt idx="55">
                  <c:v>0.26663969888147709</c:v>
                </c:pt>
                <c:pt idx="56">
                  <c:v>0.27037987887758064</c:v>
                </c:pt>
                <c:pt idx="57">
                  <c:v>0.27181393752893634</c:v>
                </c:pt>
                <c:pt idx="58">
                  <c:v>0.27580604674757536</c:v>
                </c:pt>
                <c:pt idx="59">
                  <c:v>0.28410033192028172</c:v>
                </c:pt>
                <c:pt idx="60">
                  <c:v>0.29119310849320346</c:v>
                </c:pt>
                <c:pt idx="61">
                  <c:v>0.29793705998876852</c:v>
                </c:pt>
                <c:pt idx="62">
                  <c:v>0.30280123190079955</c:v>
                </c:pt>
                <c:pt idx="63">
                  <c:v>0.3159984473274654</c:v>
                </c:pt>
                <c:pt idx="64">
                  <c:v>0.32336253229388701</c:v>
                </c:pt>
                <c:pt idx="65">
                  <c:v>0.34967944646336169</c:v>
                </c:pt>
                <c:pt idx="66">
                  <c:v>0.35611333122349842</c:v>
                </c:pt>
                <c:pt idx="67">
                  <c:v>0.35762490655871126</c:v>
                </c:pt>
                <c:pt idx="68">
                  <c:v>0.36231466593206385</c:v>
                </c:pt>
                <c:pt idx="69">
                  <c:v>0.36456264976391883</c:v>
                </c:pt>
                <c:pt idx="70">
                  <c:v>0.36456264976391883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6B-4F59-822B-D1367F31A3B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-1645</c:v>
                </c:pt>
                <c:pt idx="1">
                  <c:v>-459</c:v>
                </c:pt>
                <c:pt idx="2">
                  <c:v>-156</c:v>
                </c:pt>
                <c:pt idx="3">
                  <c:v>0</c:v>
                </c:pt>
                <c:pt idx="4">
                  <c:v>2921</c:v>
                </c:pt>
                <c:pt idx="5">
                  <c:v>2923</c:v>
                </c:pt>
                <c:pt idx="6">
                  <c:v>2929</c:v>
                </c:pt>
                <c:pt idx="7">
                  <c:v>4674</c:v>
                </c:pt>
                <c:pt idx="8">
                  <c:v>4841</c:v>
                </c:pt>
                <c:pt idx="9">
                  <c:v>7214</c:v>
                </c:pt>
                <c:pt idx="10">
                  <c:v>7221</c:v>
                </c:pt>
                <c:pt idx="11">
                  <c:v>7222</c:v>
                </c:pt>
                <c:pt idx="12">
                  <c:v>7222</c:v>
                </c:pt>
                <c:pt idx="13">
                  <c:v>7577</c:v>
                </c:pt>
                <c:pt idx="14">
                  <c:v>7577</c:v>
                </c:pt>
                <c:pt idx="15">
                  <c:v>7720</c:v>
                </c:pt>
                <c:pt idx="16">
                  <c:v>7720</c:v>
                </c:pt>
                <c:pt idx="17">
                  <c:v>7720</c:v>
                </c:pt>
                <c:pt idx="18">
                  <c:v>7720</c:v>
                </c:pt>
                <c:pt idx="19">
                  <c:v>7774</c:v>
                </c:pt>
                <c:pt idx="20">
                  <c:v>7774</c:v>
                </c:pt>
                <c:pt idx="21">
                  <c:v>8092</c:v>
                </c:pt>
                <c:pt idx="22">
                  <c:v>8092</c:v>
                </c:pt>
                <c:pt idx="23">
                  <c:v>8098</c:v>
                </c:pt>
                <c:pt idx="24">
                  <c:v>8234</c:v>
                </c:pt>
                <c:pt idx="25">
                  <c:v>8234</c:v>
                </c:pt>
                <c:pt idx="26">
                  <c:v>8234</c:v>
                </c:pt>
                <c:pt idx="27">
                  <c:v>8234</c:v>
                </c:pt>
                <c:pt idx="28">
                  <c:v>8234</c:v>
                </c:pt>
                <c:pt idx="29">
                  <c:v>8234</c:v>
                </c:pt>
                <c:pt idx="30">
                  <c:v>8574</c:v>
                </c:pt>
                <c:pt idx="31">
                  <c:v>8930</c:v>
                </c:pt>
                <c:pt idx="32">
                  <c:v>8930</c:v>
                </c:pt>
                <c:pt idx="33">
                  <c:v>8938</c:v>
                </c:pt>
                <c:pt idx="34">
                  <c:v>8938</c:v>
                </c:pt>
                <c:pt idx="35">
                  <c:v>9151</c:v>
                </c:pt>
                <c:pt idx="36">
                  <c:v>9468</c:v>
                </c:pt>
                <c:pt idx="37">
                  <c:v>9958</c:v>
                </c:pt>
                <c:pt idx="38">
                  <c:v>9973</c:v>
                </c:pt>
                <c:pt idx="39">
                  <c:v>9979</c:v>
                </c:pt>
                <c:pt idx="40">
                  <c:v>9996</c:v>
                </c:pt>
                <c:pt idx="41">
                  <c:v>9996</c:v>
                </c:pt>
                <c:pt idx="42">
                  <c:v>10638</c:v>
                </c:pt>
                <c:pt idx="43">
                  <c:v>10638.5</c:v>
                </c:pt>
                <c:pt idx="44">
                  <c:v>10820</c:v>
                </c:pt>
                <c:pt idx="45">
                  <c:v>10954.5</c:v>
                </c:pt>
                <c:pt idx="46">
                  <c:v>11136</c:v>
                </c:pt>
                <c:pt idx="47">
                  <c:v>11522</c:v>
                </c:pt>
                <c:pt idx="48">
                  <c:v>11636</c:v>
                </c:pt>
                <c:pt idx="49">
                  <c:v>11758</c:v>
                </c:pt>
                <c:pt idx="50">
                  <c:v>11762</c:v>
                </c:pt>
                <c:pt idx="51">
                  <c:v>11775</c:v>
                </c:pt>
                <c:pt idx="52">
                  <c:v>11775</c:v>
                </c:pt>
                <c:pt idx="53">
                  <c:v>11775</c:v>
                </c:pt>
                <c:pt idx="54">
                  <c:v>11775</c:v>
                </c:pt>
                <c:pt idx="55">
                  <c:v>11784.5</c:v>
                </c:pt>
                <c:pt idx="56">
                  <c:v>11881</c:v>
                </c:pt>
                <c:pt idx="57">
                  <c:v>11918</c:v>
                </c:pt>
                <c:pt idx="58">
                  <c:v>12021</c:v>
                </c:pt>
                <c:pt idx="59">
                  <c:v>12235</c:v>
                </c:pt>
                <c:pt idx="60">
                  <c:v>12418</c:v>
                </c:pt>
                <c:pt idx="61">
                  <c:v>12592</c:v>
                </c:pt>
                <c:pt idx="62">
                  <c:v>12717.5</c:v>
                </c:pt>
                <c:pt idx="63">
                  <c:v>13058</c:v>
                </c:pt>
                <c:pt idx="64">
                  <c:v>13248</c:v>
                </c:pt>
                <c:pt idx="65">
                  <c:v>13927</c:v>
                </c:pt>
                <c:pt idx="66">
                  <c:v>14093</c:v>
                </c:pt>
                <c:pt idx="67">
                  <c:v>14132</c:v>
                </c:pt>
                <c:pt idx="68">
                  <c:v>14253</c:v>
                </c:pt>
                <c:pt idx="69">
                  <c:v>14311</c:v>
                </c:pt>
                <c:pt idx="70">
                  <c:v>14311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43">
                  <c:v>0.15465955000399845</c:v>
                </c:pt>
                <c:pt idx="45">
                  <c:v>9.0942350005207118E-2</c:v>
                </c:pt>
                <c:pt idx="46">
                  <c:v>0.12018880000687204</c:v>
                </c:pt>
                <c:pt idx="48">
                  <c:v>-9.3231200000445824E-2</c:v>
                </c:pt>
                <c:pt idx="49">
                  <c:v>-0.36407859999599168</c:v>
                </c:pt>
                <c:pt idx="55">
                  <c:v>0.10924135000095703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6B-4F59-822B-D1367F31A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920520"/>
        <c:axId val="1"/>
      </c:scatterChart>
      <c:valAx>
        <c:axId val="452920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83424467774864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8333333333333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20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2500018226888304"/>
          <c:y val="0.92000129214617399"/>
          <c:w val="0.8350709025955087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BZ Cas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458685210611855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-11522</c:v>
                </c:pt>
                <c:pt idx="1">
                  <c:v>-6681</c:v>
                </c:pt>
                <c:pt idx="2">
                  <c:v>-1526</c:v>
                </c:pt>
                <c:pt idx="3">
                  <c:v>-1526</c:v>
                </c:pt>
                <c:pt idx="4">
                  <c:v>-702</c:v>
                </c:pt>
                <c:pt idx="5">
                  <c:v>0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C-4BB8-80A7-366CC87AB9C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-11522</c:v>
                </c:pt>
                <c:pt idx="1">
                  <c:v>-6681</c:v>
                </c:pt>
                <c:pt idx="2">
                  <c:v>-1526</c:v>
                </c:pt>
                <c:pt idx="3">
                  <c:v>-1526</c:v>
                </c:pt>
                <c:pt idx="4">
                  <c:v>-702</c:v>
                </c:pt>
                <c:pt idx="5">
                  <c:v>0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2">
                  <c:v>-4.9606233224039897E-3</c:v>
                </c:pt>
                <c:pt idx="3">
                  <c:v>-4.6062332694418728E-4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6C-4BB8-80A7-366CC87AB9C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-11522</c:v>
                </c:pt>
                <c:pt idx="1">
                  <c:v>-6681</c:v>
                </c:pt>
                <c:pt idx="2">
                  <c:v>-1526</c:v>
                </c:pt>
                <c:pt idx="3">
                  <c:v>-1526</c:v>
                </c:pt>
                <c:pt idx="4">
                  <c:v>-702</c:v>
                </c:pt>
                <c:pt idx="5">
                  <c:v>0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1">
                  <c:v>1.5012541043688543E-3</c:v>
                </c:pt>
                <c:pt idx="4">
                  <c:v>-2.5029292373801582E-3</c:v>
                </c:pt>
                <c:pt idx="5">
                  <c:v>6.4229217823594809E-3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6C-4BB8-80A7-366CC87AB9C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-11522</c:v>
                </c:pt>
                <c:pt idx="1">
                  <c:v>-6681</c:v>
                </c:pt>
                <c:pt idx="2">
                  <c:v>-1526</c:v>
                </c:pt>
                <c:pt idx="3">
                  <c:v>-1526</c:v>
                </c:pt>
                <c:pt idx="4">
                  <c:v>-702</c:v>
                </c:pt>
                <c:pt idx="5">
                  <c:v>0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6C-4BB8-80A7-366CC87AB9C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-11522</c:v>
                </c:pt>
                <c:pt idx="1">
                  <c:v>-6681</c:v>
                </c:pt>
                <c:pt idx="2">
                  <c:v>-1526</c:v>
                </c:pt>
                <c:pt idx="3">
                  <c:v>-1526</c:v>
                </c:pt>
                <c:pt idx="4">
                  <c:v>-702</c:v>
                </c:pt>
                <c:pt idx="5">
                  <c:v>0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6C-4BB8-80A7-366CC87AB9C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-11522</c:v>
                </c:pt>
                <c:pt idx="1">
                  <c:v>-6681</c:v>
                </c:pt>
                <c:pt idx="2">
                  <c:v>-1526</c:v>
                </c:pt>
                <c:pt idx="3">
                  <c:v>-1526</c:v>
                </c:pt>
                <c:pt idx="4">
                  <c:v>-702</c:v>
                </c:pt>
                <c:pt idx="5">
                  <c:v>0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6C-4BB8-80A7-366CC87AB9C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8.0000000000000002E-3</c:v>
                  </c:pt>
                  <c:pt idx="3">
                    <c:v>8.0000000000000004E-4</c:v>
                  </c:pt>
                  <c:pt idx="4">
                    <c:v>1E-4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-11522</c:v>
                </c:pt>
                <c:pt idx="1">
                  <c:v>-6681</c:v>
                </c:pt>
                <c:pt idx="2">
                  <c:v>-1526</c:v>
                </c:pt>
                <c:pt idx="3">
                  <c:v>-1526</c:v>
                </c:pt>
                <c:pt idx="4">
                  <c:v>-702</c:v>
                </c:pt>
                <c:pt idx="5">
                  <c:v>0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6C-4BB8-80A7-366CC87AB9C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-11522</c:v>
                </c:pt>
                <c:pt idx="1">
                  <c:v>-6681</c:v>
                </c:pt>
                <c:pt idx="2">
                  <c:v>-1526</c:v>
                </c:pt>
                <c:pt idx="3">
                  <c:v>-1526</c:v>
                </c:pt>
                <c:pt idx="4">
                  <c:v>-702</c:v>
                </c:pt>
                <c:pt idx="5">
                  <c:v>0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-1.3561555978468546E-11</c:v>
                </c:pt>
                <c:pt idx="1">
                  <c:v>-6.6032631865484375E-12</c:v>
                </c:pt>
                <c:pt idx="2">
                  <c:v>8.0636278790894045E-13</c:v>
                </c:pt>
                <c:pt idx="3">
                  <c:v>8.0636278790894045E-13</c:v>
                </c:pt>
                <c:pt idx="4">
                  <c:v>1.9907530503634275E-12</c:v>
                </c:pt>
                <c:pt idx="5">
                  <c:v>2.9997845603671283E-12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6C-4BB8-80A7-366CC87AB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910680"/>
        <c:axId val="1"/>
      </c:scatterChart>
      <c:valAx>
        <c:axId val="452910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910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15</xdr:col>
      <xdr:colOff>466725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1404E8E-38E4-AE57-2DA8-70BD5C96B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922F19E3-B0B2-2DCF-3A5F-DF4772DD6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71" TargetMode="External"/><Relationship Id="rId13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var.astro.cz/oejv/issues/oejv0060.pdf" TargetMode="External"/><Relationship Id="rId7" Type="http://schemas.openxmlformats.org/officeDocument/2006/relationships/hyperlink" Target="http://var.astro.cz/oejv/issues/oejv0094.pdf" TargetMode="External"/><Relationship Id="rId12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125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094.pdf" TargetMode="External"/><Relationship Id="rId1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www.konkoly.hu/cgi-bin/IBVS?5746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214" TargetMode="External"/><Relationship Id="rId14" Type="http://schemas.openxmlformats.org/officeDocument/2006/relationships/hyperlink" Target="http://www.bav-astro.de/sfs/BAVM_link.php?BAVMnr=23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162"/>
  <sheetViews>
    <sheetView tabSelected="1" workbookViewId="0">
      <pane xSplit="14" ySplit="22" topLeftCell="O81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5.855468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>
      <c r="A1" s="1" t="s">
        <v>42</v>
      </c>
      <c r="C1" s="11"/>
    </row>
    <row r="2" spans="1:6">
      <c r="A2" t="s">
        <v>28</v>
      </c>
      <c r="B2" s="12" t="s">
        <v>39</v>
      </c>
    </row>
    <row r="4" spans="1:6" ht="14.25" thickTop="1" thickBot="1">
      <c r="A4" s="8" t="s">
        <v>2</v>
      </c>
      <c r="C4" s="3">
        <v>29497.315999999999</v>
      </c>
      <c r="D4" s="4">
        <v>2.1264316999999999</v>
      </c>
    </row>
    <row r="5" spans="1:6" ht="13.5" thickTop="1">
      <c r="A5" s="25" t="s">
        <v>45</v>
      </c>
      <c r="B5" s="26"/>
      <c r="C5" s="27">
        <v>-9.5</v>
      </c>
      <c r="D5" s="26" t="s">
        <v>46</v>
      </c>
    </row>
    <row r="6" spans="1:6">
      <c r="A6" s="8" t="s">
        <v>3</v>
      </c>
    </row>
    <row r="7" spans="1:6">
      <c r="A7" t="s">
        <v>4</v>
      </c>
      <c r="C7">
        <v>29497.315999999999</v>
      </c>
    </row>
    <row r="8" spans="1:6">
      <c r="A8" t="s">
        <v>5</v>
      </c>
      <c r="C8">
        <v>2.1264316999999999</v>
      </c>
    </row>
    <row r="9" spans="1:6">
      <c r="A9" s="37" t="s">
        <v>50</v>
      </c>
      <c r="B9" s="38">
        <v>30</v>
      </c>
      <c r="C9" s="29" t="str">
        <f>"F"&amp;B9</f>
        <v>F30</v>
      </c>
      <c r="D9" s="16" t="str">
        <f>"G"&amp;B9</f>
        <v>G30</v>
      </c>
    </row>
    <row r="10" spans="1:6" ht="13.5" thickBot="1">
      <c r="A10" s="26"/>
      <c r="B10" s="26"/>
      <c r="C10" s="7" t="s">
        <v>23</v>
      </c>
      <c r="D10" s="7" t="s">
        <v>24</v>
      </c>
      <c r="E10" s="26"/>
    </row>
    <row r="11" spans="1:6">
      <c r="A11" s="26" t="s">
        <v>18</v>
      </c>
      <c r="B11" s="26"/>
      <c r="C11" s="28">
        <f ca="1">INTERCEPT(INDIRECT($D$9):G992,INDIRECT($C$9):F992)</f>
        <v>-0.19010798157533473</v>
      </c>
      <c r="D11" s="6"/>
      <c r="E11" s="26"/>
    </row>
    <row r="12" spans="1:6">
      <c r="A12" s="26" t="s">
        <v>19</v>
      </c>
      <c r="B12" s="26"/>
      <c r="C12" s="28">
        <f ca="1">SLOPE(INDIRECT($D$9):G992,INDIRECT($C$9):F992)</f>
        <v>3.8758341928534244E-5</v>
      </c>
      <c r="D12" s="6"/>
      <c r="E12" s="26"/>
    </row>
    <row r="13" spans="1:6">
      <c r="A13" s="26" t="s">
        <v>22</v>
      </c>
      <c r="B13" s="26"/>
      <c r="C13" s="6" t="s">
        <v>16</v>
      </c>
    </row>
    <row r="14" spans="1:6">
      <c r="A14" s="26"/>
      <c r="B14" s="26"/>
      <c r="C14" s="26"/>
    </row>
    <row r="15" spans="1:6">
      <c r="A15" s="30" t="s">
        <v>20</v>
      </c>
      <c r="B15" s="26"/>
      <c r="C15" s="17">
        <f ca="1">(C7+C11)+(C8+C12)*INT(MAX(F21:F3533))</f>
        <v>59929.044621349763</v>
      </c>
      <c r="E15" s="31" t="s">
        <v>62</v>
      </c>
      <c r="F15" s="27">
        <v>1</v>
      </c>
    </row>
    <row r="16" spans="1:6">
      <c r="A16" s="33" t="s">
        <v>6</v>
      </c>
      <c r="B16" s="26"/>
      <c r="C16" s="18">
        <f ca="1">+C8+C12</f>
        <v>2.1264704583419283</v>
      </c>
      <c r="E16" s="31" t="s">
        <v>47</v>
      </c>
      <c r="F16" s="32">
        <f ca="1">NOW()+15018.5+$C$5/24</f>
        <v>60175.805333796292</v>
      </c>
    </row>
    <row r="17" spans="1:21" ht="13.5" thickBot="1">
      <c r="A17" s="31" t="s">
        <v>41</v>
      </c>
      <c r="B17" s="26"/>
      <c r="C17" s="26">
        <f>COUNT(C21:C2191)</f>
        <v>71</v>
      </c>
      <c r="E17" s="31" t="s">
        <v>63</v>
      </c>
      <c r="F17" s="32">
        <f ca="1">ROUND(2*(F16-$C$7)/$C$8,0)/2+F15</f>
        <v>14428</v>
      </c>
    </row>
    <row r="18" spans="1:21" ht="14.25" thickTop="1" thickBot="1">
      <c r="A18" s="33" t="s">
        <v>7</v>
      </c>
      <c r="B18" s="26"/>
      <c r="C18" s="35">
        <f ca="1">+C15</f>
        <v>59929.044621349763</v>
      </c>
      <c r="D18" s="36">
        <f ca="1">+C16</f>
        <v>2.1264704583419283</v>
      </c>
      <c r="E18" s="31" t="s">
        <v>48</v>
      </c>
      <c r="F18" s="16">
        <f ca="1">ROUND(2*(F16-$C$15)/$C$16,0)/2+F15</f>
        <v>117</v>
      </c>
    </row>
    <row r="19" spans="1:21" ht="13.5" thickTop="1">
      <c r="E19" s="31" t="s">
        <v>49</v>
      </c>
      <c r="F19" s="34">
        <f ca="1">+$C$15+$C$16*F18-15018.5-$C$5/24</f>
        <v>45159.737498309107</v>
      </c>
      <c r="U19" s="16"/>
    </row>
    <row r="20" spans="1:21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75</v>
      </c>
      <c r="I20" s="10" t="s">
        <v>53</v>
      </c>
      <c r="J20" s="10" t="s">
        <v>72</v>
      </c>
      <c r="K20" s="10" t="s">
        <v>56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17</v>
      </c>
      <c r="R20" s="7"/>
      <c r="S20" s="7"/>
      <c r="T20" s="7"/>
      <c r="U20" s="41" t="s">
        <v>65</v>
      </c>
    </row>
    <row r="21" spans="1:21" ht="12.75" customHeight="1">
      <c r="A21" s="68" t="s">
        <v>85</v>
      </c>
      <c r="B21" s="69" t="s">
        <v>44</v>
      </c>
      <c r="C21" s="68">
        <v>25999.26</v>
      </c>
      <c r="D21" s="68" t="s">
        <v>53</v>
      </c>
      <c r="E21">
        <f t="shared" ref="E21:E52" si="0">+(C21-C$7)/C$8</f>
        <v>-1645.035671731192</v>
      </c>
      <c r="F21">
        <f t="shared" ref="F21:F52" si="1">ROUND(2*E21,0)/2</f>
        <v>-1645</v>
      </c>
      <c r="G21">
        <f>+C21-(C$7+F21*C$8)</f>
        <v>-7.5853500002267538E-2</v>
      </c>
      <c r="I21">
        <f>G21</f>
        <v>-7.5853500002267538E-2</v>
      </c>
      <c r="Q21" s="2">
        <f t="shared" ref="Q21:Q52" si="2">+C21-15018.5</f>
        <v>10980.759999999998</v>
      </c>
      <c r="R21" s="2"/>
      <c r="S21" s="2"/>
      <c r="T21" s="2"/>
    </row>
    <row r="22" spans="1:21" ht="12.75" customHeight="1">
      <c r="A22" s="68" t="s">
        <v>89</v>
      </c>
      <c r="B22" s="69" t="s">
        <v>44</v>
      </c>
      <c r="C22" s="68">
        <v>28521.280999999999</v>
      </c>
      <c r="D22" s="68" t="s">
        <v>53</v>
      </c>
      <c r="E22">
        <f t="shared" si="0"/>
        <v>-459.0013401323917</v>
      </c>
      <c r="F22">
        <f t="shared" si="1"/>
        <v>-459</v>
      </c>
      <c r="G22">
        <f>+C22-(C$7+F22*C$8)</f>
        <v>-2.8496999984781723E-3</v>
      </c>
      <c r="I22">
        <f>G22</f>
        <v>-2.8496999984781723E-3</v>
      </c>
      <c r="Q22" s="2">
        <f t="shared" si="2"/>
        <v>13502.780999999999</v>
      </c>
      <c r="R22" s="2"/>
      <c r="S22" s="2"/>
      <c r="T22" s="2"/>
    </row>
    <row r="23" spans="1:21" ht="12.75" customHeight="1">
      <c r="A23" s="68" t="s">
        <v>89</v>
      </c>
      <c r="B23" s="69" t="s">
        <v>44</v>
      </c>
      <c r="C23" s="68">
        <v>29165.594000000001</v>
      </c>
      <c r="D23" s="68" t="s">
        <v>53</v>
      </c>
      <c r="E23">
        <f t="shared" si="0"/>
        <v>-155.9993673909197</v>
      </c>
      <c r="F23">
        <f t="shared" si="1"/>
        <v>-156</v>
      </c>
      <c r="G23">
        <f>+C23-(C$7+F23*C$8)</f>
        <v>1.3452000021061394E-3</v>
      </c>
      <c r="I23">
        <f>G23</f>
        <v>1.3452000021061394E-3</v>
      </c>
      <c r="Q23" s="2">
        <f t="shared" si="2"/>
        <v>14147.094000000001</v>
      </c>
      <c r="R23" s="2"/>
      <c r="S23" s="2"/>
      <c r="T23" s="2"/>
    </row>
    <row r="24" spans="1:21">
      <c r="A24" t="s">
        <v>14</v>
      </c>
      <c r="C24" s="19">
        <v>29497.315999999999</v>
      </c>
      <c r="D24" s="19" t="s">
        <v>16</v>
      </c>
      <c r="E24">
        <f t="shared" si="0"/>
        <v>0</v>
      </c>
      <c r="F24">
        <f t="shared" si="1"/>
        <v>0</v>
      </c>
      <c r="H24" s="16">
        <v>0</v>
      </c>
      <c r="Q24" s="2">
        <f t="shared" si="2"/>
        <v>14478.815999999999</v>
      </c>
      <c r="R24" s="2"/>
      <c r="S24" s="2"/>
      <c r="T24" s="2"/>
    </row>
    <row r="25" spans="1:21" ht="12.75" customHeight="1">
      <c r="A25" s="68" t="s">
        <v>97</v>
      </c>
      <c r="B25" s="69" t="s">
        <v>44</v>
      </c>
      <c r="C25" s="68">
        <v>35708.623</v>
      </c>
      <c r="D25" s="68" t="s">
        <v>53</v>
      </c>
      <c r="E25">
        <f t="shared" si="0"/>
        <v>2921.0000020221673</v>
      </c>
      <c r="F25">
        <f t="shared" si="1"/>
        <v>2921</v>
      </c>
      <c r="G25">
        <f t="shared" ref="G25:G63" si="3">+C25-(C$7+F25*C$8)</f>
        <v>4.3000036384910345E-6</v>
      </c>
      <c r="I25">
        <f>G25</f>
        <v>4.3000036384910345E-6</v>
      </c>
      <c r="Q25" s="2">
        <f t="shared" si="2"/>
        <v>20690.123</v>
      </c>
      <c r="R25" s="2"/>
      <c r="S25" s="2"/>
      <c r="T25" s="2"/>
    </row>
    <row r="26" spans="1:21" ht="12.75" customHeight="1">
      <c r="A26" s="68" t="s">
        <v>97</v>
      </c>
      <c r="B26" s="69" t="s">
        <v>44</v>
      </c>
      <c r="C26" s="68">
        <v>35712.875</v>
      </c>
      <c r="D26" s="68" t="s">
        <v>53</v>
      </c>
      <c r="E26">
        <f t="shared" si="0"/>
        <v>2922.9995959898461</v>
      </c>
      <c r="F26">
        <f t="shared" si="1"/>
        <v>2923</v>
      </c>
      <c r="G26">
        <f t="shared" si="3"/>
        <v>-8.5910000052535906E-4</v>
      </c>
      <c r="I26">
        <f>G26</f>
        <v>-8.5910000052535906E-4</v>
      </c>
      <c r="Q26" s="2">
        <f t="shared" si="2"/>
        <v>20694.375</v>
      </c>
      <c r="R26" s="2"/>
      <c r="S26" s="2"/>
      <c r="T26" s="2"/>
    </row>
    <row r="27" spans="1:21" ht="12.75" customHeight="1">
      <c r="A27" s="68" t="s">
        <v>97</v>
      </c>
      <c r="B27" s="69" t="s">
        <v>44</v>
      </c>
      <c r="C27" s="68">
        <v>35725.633999999998</v>
      </c>
      <c r="D27" s="68" t="s">
        <v>53</v>
      </c>
      <c r="E27">
        <f t="shared" si="0"/>
        <v>2928.9997887070626</v>
      </c>
      <c r="F27">
        <f t="shared" si="1"/>
        <v>2929</v>
      </c>
      <c r="G27">
        <f t="shared" si="3"/>
        <v>-4.493000014917925E-4</v>
      </c>
      <c r="I27">
        <f>G27</f>
        <v>-4.493000014917925E-4</v>
      </c>
      <c r="O27">
        <f t="shared" ref="O27:O58" ca="1" si="4">+C$11+C$12*F27</f>
        <v>-7.6584798066657939E-2</v>
      </c>
      <c r="Q27" s="2">
        <f t="shared" si="2"/>
        <v>20707.133999999998</v>
      </c>
      <c r="R27" s="2"/>
      <c r="S27" s="2"/>
      <c r="T27" s="2"/>
    </row>
    <row r="28" spans="1:21">
      <c r="A28" s="68" t="s">
        <v>108</v>
      </c>
      <c r="B28" s="69" t="s">
        <v>44</v>
      </c>
      <c r="C28" s="68">
        <v>39436.315999999999</v>
      </c>
      <c r="D28" s="68" t="s">
        <v>53</v>
      </c>
      <c r="E28">
        <f t="shared" si="0"/>
        <v>4674.0273858784176</v>
      </c>
      <c r="F28">
        <f t="shared" si="1"/>
        <v>4674</v>
      </c>
      <c r="G28">
        <f t="shared" si="3"/>
        <v>5.8234199997968972E-2</v>
      </c>
      <c r="J28">
        <f>G28</f>
        <v>5.8234199997968972E-2</v>
      </c>
      <c r="O28">
        <f t="shared" ca="1" si="4"/>
        <v>-8.9514914013656688E-3</v>
      </c>
      <c r="Q28" s="2">
        <f t="shared" si="2"/>
        <v>24417.815999999999</v>
      </c>
      <c r="R28" s="2"/>
      <c r="S28" s="2"/>
      <c r="T28" s="2"/>
    </row>
    <row r="29" spans="1:21">
      <c r="A29" s="13" t="s">
        <v>40</v>
      </c>
      <c r="B29" s="14"/>
      <c r="C29" s="13">
        <v>39791.402999999998</v>
      </c>
      <c r="D29" s="13">
        <v>5.0000000000000001E-3</v>
      </c>
      <c r="E29">
        <f t="shared" si="0"/>
        <v>4841.0146443922931</v>
      </c>
      <c r="F29">
        <f t="shared" si="1"/>
        <v>4841</v>
      </c>
      <c r="G29">
        <f t="shared" si="3"/>
        <v>3.1140300001425203E-2</v>
      </c>
      <c r="J29" s="15">
        <f>G29</f>
        <v>3.1140300001425203E-2</v>
      </c>
      <c r="O29">
        <f t="shared" ca="1" si="4"/>
        <v>-2.4788482993004513E-3</v>
      </c>
      <c r="Q29" s="2">
        <f t="shared" si="2"/>
        <v>24772.902999999998</v>
      </c>
      <c r="R29" s="2" t="s">
        <v>53</v>
      </c>
      <c r="S29" s="2"/>
      <c r="T29" s="2"/>
    </row>
    <row r="30" spans="1:21" ht="12.75" customHeight="1">
      <c r="A30" s="68" t="s">
        <v>119</v>
      </c>
      <c r="B30" s="69" t="s">
        <v>44</v>
      </c>
      <c r="C30" s="68">
        <v>44837.487000000001</v>
      </c>
      <c r="D30" s="68" t="s">
        <v>53</v>
      </c>
      <c r="E30">
        <f t="shared" si="0"/>
        <v>7214.0436017766306</v>
      </c>
      <c r="F30">
        <f t="shared" si="1"/>
        <v>7214</v>
      </c>
      <c r="G30">
        <f t="shared" si="3"/>
        <v>9.2716200000722893E-2</v>
      </c>
      <c r="I30">
        <f t="shared" ref="I30:I57" si="5">G30</f>
        <v>9.2716200000722893E-2</v>
      </c>
      <c r="O30">
        <f t="shared" ca="1" si="4"/>
        <v>8.9494697097111303E-2</v>
      </c>
      <c r="Q30" s="2">
        <f t="shared" si="2"/>
        <v>29818.987000000001</v>
      </c>
      <c r="R30" s="2"/>
      <c r="S30" s="2"/>
      <c r="T30" s="2"/>
    </row>
    <row r="31" spans="1:21" ht="12.75" customHeight="1">
      <c r="A31" s="68" t="s">
        <v>119</v>
      </c>
      <c r="B31" s="69" t="s">
        <v>44</v>
      </c>
      <c r="C31" s="68">
        <v>44852.360999999997</v>
      </c>
      <c r="D31" s="68" t="s">
        <v>53</v>
      </c>
      <c r="E31">
        <f t="shared" si="0"/>
        <v>7221.0384184923496</v>
      </c>
      <c r="F31">
        <f t="shared" si="1"/>
        <v>7221</v>
      </c>
      <c r="G31">
        <f t="shared" si="3"/>
        <v>8.1694300002709497E-2</v>
      </c>
      <c r="I31">
        <f t="shared" si="5"/>
        <v>8.1694300002709497E-2</v>
      </c>
      <c r="O31">
        <f t="shared" ca="1" si="4"/>
        <v>8.9766005490611062E-2</v>
      </c>
      <c r="Q31" s="2">
        <f t="shared" si="2"/>
        <v>29833.860999999997</v>
      </c>
      <c r="R31" s="2"/>
      <c r="S31" s="2"/>
      <c r="T31" s="2"/>
    </row>
    <row r="32" spans="1:21" ht="12.75" customHeight="1">
      <c r="A32" s="68" t="s">
        <v>119</v>
      </c>
      <c r="B32" s="69" t="s">
        <v>44</v>
      </c>
      <c r="C32" s="68">
        <v>44854.49</v>
      </c>
      <c r="D32" s="68" t="s">
        <v>53</v>
      </c>
      <c r="E32">
        <f t="shared" si="0"/>
        <v>7222.0396262903714</v>
      </c>
      <c r="F32">
        <f t="shared" si="1"/>
        <v>7222</v>
      </c>
      <c r="G32">
        <f t="shared" si="3"/>
        <v>8.4262600001238752E-2</v>
      </c>
      <c r="I32">
        <f t="shared" si="5"/>
        <v>8.4262600001238752E-2</v>
      </c>
      <c r="O32">
        <f t="shared" ca="1" si="4"/>
        <v>8.9804763832539575E-2</v>
      </c>
      <c r="Q32" s="2">
        <f t="shared" si="2"/>
        <v>29835.989999999998</v>
      </c>
      <c r="R32" s="2"/>
      <c r="S32" s="2"/>
      <c r="T32" s="2"/>
    </row>
    <row r="33" spans="1:20" ht="12.75" customHeight="1">
      <c r="A33" s="68" t="s">
        <v>119</v>
      </c>
      <c r="B33" s="69" t="s">
        <v>44</v>
      </c>
      <c r="C33" s="68">
        <v>44854.5</v>
      </c>
      <c r="D33" s="68" t="s">
        <v>53</v>
      </c>
      <c r="E33">
        <f t="shared" si="0"/>
        <v>7222.0443290043131</v>
      </c>
      <c r="F33">
        <f t="shared" si="1"/>
        <v>7222</v>
      </c>
      <c r="G33">
        <f t="shared" si="3"/>
        <v>9.426260000327602E-2</v>
      </c>
      <c r="I33">
        <f t="shared" si="5"/>
        <v>9.426260000327602E-2</v>
      </c>
      <c r="O33">
        <f t="shared" ca="1" si="4"/>
        <v>8.9804763832539575E-2</v>
      </c>
      <c r="Q33" s="2">
        <f t="shared" si="2"/>
        <v>29836</v>
      </c>
      <c r="R33" s="2"/>
      <c r="S33" s="2"/>
      <c r="T33" s="2"/>
    </row>
    <row r="34" spans="1:20" ht="12.75" customHeight="1">
      <c r="A34" s="68" t="s">
        <v>119</v>
      </c>
      <c r="B34" s="69" t="s">
        <v>44</v>
      </c>
      <c r="C34" s="68">
        <v>45609.396999999997</v>
      </c>
      <c r="D34" s="68" t="s">
        <v>53</v>
      </c>
      <c r="E34">
        <f t="shared" si="0"/>
        <v>7577.0507935900314</v>
      </c>
      <c r="F34">
        <f t="shared" si="1"/>
        <v>7577</v>
      </c>
      <c r="G34">
        <f t="shared" si="3"/>
        <v>0.10800909999670694</v>
      </c>
      <c r="I34">
        <f t="shared" si="5"/>
        <v>0.10800909999670694</v>
      </c>
      <c r="O34">
        <f t="shared" ca="1" si="4"/>
        <v>0.10356397521716923</v>
      </c>
      <c r="Q34" s="2">
        <f t="shared" si="2"/>
        <v>30590.896999999997</v>
      </c>
      <c r="R34" s="2"/>
      <c r="S34" s="2"/>
      <c r="T34" s="2"/>
    </row>
    <row r="35" spans="1:20" ht="12.75" customHeight="1">
      <c r="A35" s="68" t="s">
        <v>119</v>
      </c>
      <c r="B35" s="69" t="s">
        <v>44</v>
      </c>
      <c r="C35" s="68">
        <v>45609.402999999998</v>
      </c>
      <c r="D35" s="68" t="s">
        <v>53</v>
      </c>
      <c r="E35">
        <f t="shared" si="0"/>
        <v>7577.0536152183959</v>
      </c>
      <c r="F35">
        <f t="shared" si="1"/>
        <v>7577</v>
      </c>
      <c r="G35">
        <f t="shared" si="3"/>
        <v>0.1140090999979293</v>
      </c>
      <c r="I35">
        <f t="shared" si="5"/>
        <v>0.1140090999979293</v>
      </c>
      <c r="O35">
        <f t="shared" ca="1" si="4"/>
        <v>0.10356397521716923</v>
      </c>
      <c r="Q35" s="2">
        <f t="shared" si="2"/>
        <v>30590.902999999998</v>
      </c>
      <c r="R35" s="2"/>
      <c r="S35" s="2"/>
      <c r="T35" s="2"/>
    </row>
    <row r="36" spans="1:20" ht="12.75" customHeight="1">
      <c r="A36" s="68" t="s">
        <v>141</v>
      </c>
      <c r="B36" s="69" t="s">
        <v>44</v>
      </c>
      <c r="C36" s="68">
        <v>45913.47</v>
      </c>
      <c r="D36" s="68" t="s">
        <v>53</v>
      </c>
      <c r="E36">
        <f t="shared" si="0"/>
        <v>7720.0476272057094</v>
      </c>
      <c r="F36">
        <f t="shared" si="1"/>
        <v>7720</v>
      </c>
      <c r="G36">
        <f t="shared" si="3"/>
        <v>0.10127600000123493</v>
      </c>
      <c r="I36">
        <f t="shared" si="5"/>
        <v>0.10127600000123493</v>
      </c>
      <c r="O36">
        <f t="shared" ca="1" si="4"/>
        <v>0.1091064181129496</v>
      </c>
      <c r="Q36" s="2">
        <f t="shared" si="2"/>
        <v>30894.97</v>
      </c>
      <c r="R36" s="2"/>
      <c r="S36" s="2"/>
      <c r="T36" s="2"/>
    </row>
    <row r="37" spans="1:20" ht="12.75" customHeight="1">
      <c r="A37" s="68" t="s">
        <v>141</v>
      </c>
      <c r="B37" s="69" t="s">
        <v>44</v>
      </c>
      <c r="C37" s="68">
        <v>45913.476999999999</v>
      </c>
      <c r="D37" s="68" t="s">
        <v>53</v>
      </c>
      <c r="E37">
        <f t="shared" si="0"/>
        <v>7720.0509191054671</v>
      </c>
      <c r="F37">
        <f t="shared" si="1"/>
        <v>7720</v>
      </c>
      <c r="G37">
        <f t="shared" si="3"/>
        <v>0.10827599999902304</v>
      </c>
      <c r="I37">
        <f t="shared" si="5"/>
        <v>0.10827599999902304</v>
      </c>
      <c r="O37">
        <f t="shared" ca="1" si="4"/>
        <v>0.1091064181129496</v>
      </c>
      <c r="Q37" s="2">
        <f t="shared" si="2"/>
        <v>30894.976999999999</v>
      </c>
      <c r="R37" s="2"/>
      <c r="S37" s="2"/>
      <c r="T37" s="2"/>
    </row>
    <row r="38" spans="1:20" ht="12.75" customHeight="1">
      <c r="A38" s="68" t="s">
        <v>141</v>
      </c>
      <c r="B38" s="69" t="s">
        <v>44</v>
      </c>
      <c r="C38" s="68">
        <v>45913.476999999999</v>
      </c>
      <c r="D38" s="68" t="s">
        <v>53</v>
      </c>
      <c r="E38">
        <f t="shared" si="0"/>
        <v>7720.0509191054671</v>
      </c>
      <c r="F38">
        <f t="shared" si="1"/>
        <v>7720</v>
      </c>
      <c r="G38">
        <f t="shared" si="3"/>
        <v>0.10827599999902304</v>
      </c>
      <c r="I38">
        <f t="shared" si="5"/>
        <v>0.10827599999902304</v>
      </c>
      <c r="O38">
        <f t="shared" ca="1" si="4"/>
        <v>0.1091064181129496</v>
      </c>
      <c r="Q38" s="2">
        <f t="shared" si="2"/>
        <v>30894.976999999999</v>
      </c>
      <c r="R38" s="2"/>
      <c r="S38" s="2"/>
      <c r="T38" s="2"/>
    </row>
    <row r="39" spans="1:20" ht="12.75" customHeight="1">
      <c r="A39" s="68" t="s">
        <v>141</v>
      </c>
      <c r="B39" s="69" t="s">
        <v>44</v>
      </c>
      <c r="C39" s="68">
        <v>45913.482000000004</v>
      </c>
      <c r="D39" s="68" t="s">
        <v>53</v>
      </c>
      <c r="E39">
        <f t="shared" si="0"/>
        <v>7720.0532704624393</v>
      </c>
      <c r="F39">
        <f t="shared" si="1"/>
        <v>7720</v>
      </c>
      <c r="G39">
        <f t="shared" si="3"/>
        <v>0.11327600000367966</v>
      </c>
      <c r="I39">
        <f t="shared" si="5"/>
        <v>0.11327600000367966</v>
      </c>
      <c r="O39">
        <f t="shared" ca="1" si="4"/>
        <v>0.1091064181129496</v>
      </c>
      <c r="Q39" s="2">
        <f t="shared" si="2"/>
        <v>30894.982000000004</v>
      </c>
      <c r="R39" s="2"/>
      <c r="S39" s="2"/>
      <c r="T39" s="2"/>
    </row>
    <row r="40" spans="1:20" ht="12.75" customHeight="1">
      <c r="A40" s="68" t="s">
        <v>141</v>
      </c>
      <c r="B40" s="69" t="s">
        <v>44</v>
      </c>
      <c r="C40" s="68">
        <v>46028.3</v>
      </c>
      <c r="D40" s="68" t="s">
        <v>53</v>
      </c>
      <c r="E40">
        <f t="shared" si="0"/>
        <v>7774.0488913892714</v>
      </c>
      <c r="F40">
        <f t="shared" si="1"/>
        <v>7774</v>
      </c>
      <c r="G40">
        <f t="shared" si="3"/>
        <v>0.10396420000324724</v>
      </c>
      <c r="I40">
        <f t="shared" si="5"/>
        <v>0.10396420000324724</v>
      </c>
      <c r="O40">
        <f t="shared" ca="1" si="4"/>
        <v>0.11119936857709048</v>
      </c>
      <c r="Q40" s="2">
        <f t="shared" si="2"/>
        <v>31009.800000000003</v>
      </c>
      <c r="R40" s="2"/>
      <c r="S40" s="2"/>
      <c r="T40" s="2"/>
    </row>
    <row r="41" spans="1:20" ht="12.75" customHeight="1">
      <c r="A41" s="68" t="s">
        <v>141</v>
      </c>
      <c r="B41" s="69" t="s">
        <v>44</v>
      </c>
      <c r="C41" s="68">
        <v>46028.305999999997</v>
      </c>
      <c r="D41" s="68" t="s">
        <v>53</v>
      </c>
      <c r="E41">
        <f t="shared" si="0"/>
        <v>7774.0517130176331</v>
      </c>
      <c r="F41">
        <f t="shared" si="1"/>
        <v>7774</v>
      </c>
      <c r="G41">
        <f t="shared" si="3"/>
        <v>0.10996419999719365</v>
      </c>
      <c r="I41">
        <f t="shared" si="5"/>
        <v>0.10996419999719365</v>
      </c>
      <c r="O41">
        <f t="shared" ca="1" si="4"/>
        <v>0.11119936857709048</v>
      </c>
      <c r="Q41" s="2">
        <f t="shared" si="2"/>
        <v>31009.805999999997</v>
      </c>
      <c r="R41" s="2"/>
      <c r="S41" s="2"/>
      <c r="T41" s="2"/>
    </row>
    <row r="42" spans="1:20" ht="12.75" customHeight="1">
      <c r="A42" s="68" t="s">
        <v>159</v>
      </c>
      <c r="B42" s="69" t="s">
        <v>44</v>
      </c>
      <c r="C42" s="68">
        <v>46704.53</v>
      </c>
      <c r="D42" s="68" t="s">
        <v>53</v>
      </c>
      <c r="E42">
        <f t="shared" si="0"/>
        <v>8092.0605162159691</v>
      </c>
      <c r="F42">
        <f t="shared" si="1"/>
        <v>8092</v>
      </c>
      <c r="G42">
        <f t="shared" si="3"/>
        <v>0.12868359999993118</v>
      </c>
      <c r="I42">
        <f t="shared" si="5"/>
        <v>0.12868359999993118</v>
      </c>
      <c r="O42">
        <f t="shared" ca="1" si="4"/>
        <v>0.12352452131036437</v>
      </c>
      <c r="Q42" s="2">
        <f t="shared" si="2"/>
        <v>31686.03</v>
      </c>
      <c r="R42" s="2"/>
      <c r="S42" s="2"/>
      <c r="T42" s="2"/>
    </row>
    <row r="43" spans="1:20" ht="12.75" customHeight="1">
      <c r="A43" s="68" t="s">
        <v>159</v>
      </c>
      <c r="B43" s="69" t="s">
        <v>44</v>
      </c>
      <c r="C43" s="68">
        <v>46704.544000000002</v>
      </c>
      <c r="D43" s="68" t="s">
        <v>53</v>
      </c>
      <c r="E43">
        <f t="shared" si="0"/>
        <v>8092.067100015488</v>
      </c>
      <c r="F43">
        <f t="shared" si="1"/>
        <v>8092</v>
      </c>
      <c r="G43">
        <f t="shared" si="3"/>
        <v>0.14268360000278335</v>
      </c>
      <c r="I43">
        <f t="shared" si="5"/>
        <v>0.14268360000278335</v>
      </c>
      <c r="O43">
        <f t="shared" ca="1" si="4"/>
        <v>0.12352452131036437</v>
      </c>
      <c r="Q43" s="2">
        <f t="shared" si="2"/>
        <v>31686.044000000002</v>
      </c>
      <c r="R43" s="2"/>
      <c r="S43" s="2"/>
      <c r="T43" s="2"/>
    </row>
    <row r="44" spans="1:20" ht="12.75" customHeight="1">
      <c r="A44" s="68" t="s">
        <v>159</v>
      </c>
      <c r="B44" s="69" t="s">
        <v>44</v>
      </c>
      <c r="C44" s="68">
        <v>46717.288999999997</v>
      </c>
      <c r="D44" s="68" t="s">
        <v>53</v>
      </c>
      <c r="E44">
        <f t="shared" si="0"/>
        <v>8098.0607089331852</v>
      </c>
      <c r="F44">
        <f t="shared" si="1"/>
        <v>8098</v>
      </c>
      <c r="G44">
        <f t="shared" si="3"/>
        <v>0.12909339999896474</v>
      </c>
      <c r="I44">
        <f t="shared" si="5"/>
        <v>0.12909339999896474</v>
      </c>
      <c r="O44">
        <f t="shared" ca="1" si="4"/>
        <v>0.12375707136193556</v>
      </c>
      <c r="Q44" s="2">
        <f t="shared" si="2"/>
        <v>31698.788999999997</v>
      </c>
      <c r="R44" s="2"/>
      <c r="S44" s="2"/>
      <c r="T44" s="2"/>
    </row>
    <row r="45" spans="1:20" ht="12.75" customHeight="1">
      <c r="A45" s="68" t="s">
        <v>169</v>
      </c>
      <c r="B45" s="69" t="s">
        <v>44</v>
      </c>
      <c r="C45" s="68">
        <v>47006.476999999999</v>
      </c>
      <c r="D45" s="68" t="s">
        <v>53</v>
      </c>
      <c r="E45">
        <f t="shared" si="0"/>
        <v>8234.0575528478057</v>
      </c>
      <c r="F45">
        <f t="shared" si="1"/>
        <v>8234</v>
      </c>
      <c r="G45">
        <f t="shared" si="3"/>
        <v>0.12238220000290312</v>
      </c>
      <c r="I45">
        <f t="shared" si="5"/>
        <v>0.12238220000290312</v>
      </c>
      <c r="O45">
        <f t="shared" ca="1" si="4"/>
        <v>0.12902820586421623</v>
      </c>
      <c r="Q45" s="2">
        <f t="shared" si="2"/>
        <v>31987.976999999999</v>
      </c>
      <c r="R45" s="2"/>
      <c r="S45" s="2"/>
      <c r="T45" s="2"/>
    </row>
    <row r="46" spans="1:20" ht="12.75" customHeight="1">
      <c r="A46" s="68" t="s">
        <v>169</v>
      </c>
      <c r="B46" s="69" t="s">
        <v>44</v>
      </c>
      <c r="C46" s="68">
        <v>47006.478999999999</v>
      </c>
      <c r="D46" s="68" t="s">
        <v>53</v>
      </c>
      <c r="E46">
        <f t="shared" si="0"/>
        <v>8234.0584933905939</v>
      </c>
      <c r="F46">
        <f t="shared" si="1"/>
        <v>8234</v>
      </c>
      <c r="G46">
        <f t="shared" si="3"/>
        <v>0.12438220000331057</v>
      </c>
      <c r="I46">
        <f t="shared" si="5"/>
        <v>0.12438220000331057</v>
      </c>
      <c r="O46">
        <f t="shared" ca="1" si="4"/>
        <v>0.12902820586421623</v>
      </c>
      <c r="Q46" s="2">
        <f t="shared" si="2"/>
        <v>31987.978999999999</v>
      </c>
      <c r="R46" s="2"/>
      <c r="S46" s="2"/>
      <c r="T46" s="2"/>
    </row>
    <row r="47" spans="1:20" ht="12.75" customHeight="1">
      <c r="A47" s="68" t="s">
        <v>169</v>
      </c>
      <c r="B47" s="69" t="s">
        <v>44</v>
      </c>
      <c r="C47" s="68">
        <v>47006.48</v>
      </c>
      <c r="D47" s="68" t="s">
        <v>53</v>
      </c>
      <c r="E47">
        <f t="shared" si="0"/>
        <v>8234.0589636619898</v>
      </c>
      <c r="F47">
        <f t="shared" si="1"/>
        <v>8234</v>
      </c>
      <c r="G47">
        <f t="shared" si="3"/>
        <v>0.12538220000715228</v>
      </c>
      <c r="I47">
        <f t="shared" si="5"/>
        <v>0.12538220000715228</v>
      </c>
      <c r="O47">
        <f t="shared" ca="1" si="4"/>
        <v>0.12902820586421623</v>
      </c>
      <c r="Q47" s="2">
        <f t="shared" si="2"/>
        <v>31987.980000000003</v>
      </c>
      <c r="R47" s="2"/>
      <c r="S47" s="2"/>
      <c r="T47" s="2"/>
    </row>
    <row r="48" spans="1:20" ht="12.75" customHeight="1">
      <c r="A48" s="68" t="s">
        <v>169</v>
      </c>
      <c r="B48" s="69" t="s">
        <v>44</v>
      </c>
      <c r="C48" s="68">
        <v>47006.482000000004</v>
      </c>
      <c r="D48" s="68" t="s">
        <v>53</v>
      </c>
      <c r="E48">
        <f t="shared" si="0"/>
        <v>8234.0599042047797</v>
      </c>
      <c r="F48">
        <f t="shared" si="1"/>
        <v>8234</v>
      </c>
      <c r="G48">
        <f t="shared" si="3"/>
        <v>0.12738220000755973</v>
      </c>
      <c r="I48">
        <f t="shared" si="5"/>
        <v>0.12738220000755973</v>
      </c>
      <c r="O48">
        <f t="shared" ca="1" si="4"/>
        <v>0.12902820586421623</v>
      </c>
      <c r="Q48" s="2">
        <f t="shared" si="2"/>
        <v>31987.982000000004</v>
      </c>
      <c r="R48" s="2"/>
      <c r="S48" s="2"/>
      <c r="T48" s="2"/>
    </row>
    <row r="49" spans="1:21" ht="12.75" customHeight="1">
      <c r="A49" s="68" t="s">
        <v>169</v>
      </c>
      <c r="B49" s="69" t="s">
        <v>44</v>
      </c>
      <c r="C49" s="68">
        <v>47006.483999999997</v>
      </c>
      <c r="D49" s="68" t="s">
        <v>53</v>
      </c>
      <c r="E49">
        <f t="shared" si="0"/>
        <v>8234.0608447475643</v>
      </c>
      <c r="F49">
        <f t="shared" si="1"/>
        <v>8234</v>
      </c>
      <c r="G49">
        <f t="shared" si="3"/>
        <v>0.12938220000069123</v>
      </c>
      <c r="I49">
        <f t="shared" si="5"/>
        <v>0.12938220000069123</v>
      </c>
      <c r="O49">
        <f t="shared" ca="1" si="4"/>
        <v>0.12902820586421623</v>
      </c>
      <c r="Q49" s="2">
        <f t="shared" si="2"/>
        <v>31987.983999999997</v>
      </c>
      <c r="R49" s="2"/>
      <c r="S49" s="2"/>
      <c r="T49" s="2"/>
    </row>
    <row r="50" spans="1:21">
      <c r="A50" s="68" t="s">
        <v>169</v>
      </c>
      <c r="B50" s="69" t="s">
        <v>44</v>
      </c>
      <c r="C50" s="68">
        <v>47006.485999999997</v>
      </c>
      <c r="D50" s="68" t="s">
        <v>53</v>
      </c>
      <c r="E50">
        <f t="shared" si="0"/>
        <v>8234.0617852903524</v>
      </c>
      <c r="F50">
        <f t="shared" si="1"/>
        <v>8234</v>
      </c>
      <c r="G50">
        <f t="shared" si="3"/>
        <v>0.13138220000109868</v>
      </c>
      <c r="I50">
        <f t="shared" si="5"/>
        <v>0.13138220000109868</v>
      </c>
      <c r="O50">
        <f t="shared" ca="1" si="4"/>
        <v>0.12902820586421623</v>
      </c>
      <c r="Q50" s="2">
        <f t="shared" si="2"/>
        <v>31987.985999999997</v>
      </c>
      <c r="R50" s="2"/>
      <c r="S50" s="2"/>
      <c r="T50" s="2"/>
    </row>
    <row r="51" spans="1:21">
      <c r="A51" s="68" t="s">
        <v>169</v>
      </c>
      <c r="B51" s="69" t="s">
        <v>44</v>
      </c>
      <c r="C51" s="68">
        <v>47729.487000000001</v>
      </c>
      <c r="D51" s="68" t="s">
        <v>53</v>
      </c>
      <c r="E51">
        <f t="shared" si="0"/>
        <v>8574.0684734901206</v>
      </c>
      <c r="F51">
        <f t="shared" si="1"/>
        <v>8574</v>
      </c>
      <c r="G51">
        <f t="shared" si="3"/>
        <v>0.14560419999907026</v>
      </c>
      <c r="I51">
        <f t="shared" si="5"/>
        <v>0.14560419999907026</v>
      </c>
      <c r="O51">
        <f t="shared" ca="1" si="4"/>
        <v>0.14220604211991786</v>
      </c>
      <c r="Q51" s="2">
        <f t="shared" si="2"/>
        <v>32710.987000000001</v>
      </c>
      <c r="R51" s="2"/>
      <c r="S51" s="2"/>
      <c r="T51" s="2"/>
    </row>
    <row r="52" spans="1:21">
      <c r="A52" s="68" t="s">
        <v>195</v>
      </c>
      <c r="B52" s="69" t="s">
        <v>44</v>
      </c>
      <c r="C52" s="68">
        <v>48486.506000000001</v>
      </c>
      <c r="D52" s="68" t="s">
        <v>53</v>
      </c>
      <c r="E52">
        <f t="shared" si="0"/>
        <v>8930.0728539741031</v>
      </c>
      <c r="F52">
        <f t="shared" si="1"/>
        <v>8930</v>
      </c>
      <c r="G52">
        <f t="shared" si="3"/>
        <v>0.15491900000051828</v>
      </c>
      <c r="I52">
        <f t="shared" si="5"/>
        <v>0.15491900000051828</v>
      </c>
      <c r="O52">
        <f t="shared" ca="1" si="4"/>
        <v>0.15600401184647608</v>
      </c>
      <c r="Q52" s="2">
        <f t="shared" si="2"/>
        <v>33468.006000000001</v>
      </c>
      <c r="R52" s="2"/>
      <c r="S52" s="2"/>
      <c r="T52" s="2"/>
    </row>
    <row r="53" spans="1:21">
      <c r="A53" s="68" t="s">
        <v>195</v>
      </c>
      <c r="B53" s="69" t="s">
        <v>44</v>
      </c>
      <c r="C53" s="68">
        <v>48486.506000000001</v>
      </c>
      <c r="D53" s="68" t="s">
        <v>53</v>
      </c>
      <c r="E53">
        <f t="shared" ref="E53:E83" si="6">+(C53-C$7)/C$8</f>
        <v>8930.0728539741031</v>
      </c>
      <c r="F53">
        <f t="shared" ref="F53:F85" si="7">ROUND(2*E53,0)/2</f>
        <v>8930</v>
      </c>
      <c r="G53">
        <f t="shared" si="3"/>
        <v>0.15491900000051828</v>
      </c>
      <c r="I53">
        <f t="shared" si="5"/>
        <v>0.15491900000051828</v>
      </c>
      <c r="O53">
        <f t="shared" ca="1" si="4"/>
        <v>0.15600401184647608</v>
      </c>
      <c r="Q53" s="2">
        <f t="shared" ref="Q53:Q83" si="8">+C53-15018.5</f>
        <v>33468.006000000001</v>
      </c>
      <c r="R53" s="2"/>
      <c r="S53" s="2"/>
      <c r="T53" s="2"/>
    </row>
    <row r="54" spans="1:21">
      <c r="A54" s="68" t="s">
        <v>195</v>
      </c>
      <c r="B54" s="69" t="s">
        <v>44</v>
      </c>
      <c r="C54" s="68">
        <v>48503.517999999996</v>
      </c>
      <c r="D54" s="68" t="s">
        <v>53</v>
      </c>
      <c r="E54">
        <f t="shared" si="6"/>
        <v>8938.0731109303906</v>
      </c>
      <c r="F54">
        <f t="shared" si="7"/>
        <v>8938</v>
      </c>
      <c r="G54">
        <f t="shared" si="3"/>
        <v>0.1554653999992297</v>
      </c>
      <c r="I54">
        <f t="shared" si="5"/>
        <v>0.1554653999992297</v>
      </c>
      <c r="O54">
        <f t="shared" ca="1" si="4"/>
        <v>0.15631407858190435</v>
      </c>
      <c r="Q54" s="2">
        <f t="shared" si="8"/>
        <v>33485.017999999996</v>
      </c>
      <c r="R54" s="2"/>
      <c r="S54" s="2"/>
      <c r="T54" s="2"/>
    </row>
    <row r="55" spans="1:21">
      <c r="A55" s="68" t="s">
        <v>195</v>
      </c>
      <c r="B55" s="69" t="s">
        <v>44</v>
      </c>
      <c r="C55" s="68">
        <v>48503.521000000001</v>
      </c>
      <c r="D55" s="68" t="s">
        <v>53</v>
      </c>
      <c r="E55">
        <f t="shared" si="6"/>
        <v>8938.0745217445747</v>
      </c>
      <c r="F55">
        <f t="shared" si="7"/>
        <v>8938</v>
      </c>
      <c r="G55">
        <f t="shared" si="3"/>
        <v>0.15846540000347886</v>
      </c>
      <c r="I55">
        <f t="shared" si="5"/>
        <v>0.15846540000347886</v>
      </c>
      <c r="O55">
        <f t="shared" ca="1" si="4"/>
        <v>0.15631407858190435</v>
      </c>
      <c r="Q55" s="2">
        <f t="shared" si="8"/>
        <v>33485.021000000001</v>
      </c>
      <c r="R55" s="2"/>
      <c r="S55" s="2"/>
      <c r="T55" s="2"/>
    </row>
    <row r="56" spans="1:21">
      <c r="A56" s="68" t="s">
        <v>195</v>
      </c>
      <c r="B56" s="69" t="s">
        <v>44</v>
      </c>
      <c r="C56" s="68">
        <v>48956.463000000003</v>
      </c>
      <c r="D56" s="68" t="s">
        <v>53</v>
      </c>
      <c r="E56">
        <f t="shared" si="6"/>
        <v>9151.0801875273046</v>
      </c>
      <c r="F56">
        <f t="shared" si="7"/>
        <v>9151</v>
      </c>
      <c r="G56">
        <f t="shared" si="3"/>
        <v>0.17051330000685994</v>
      </c>
      <c r="I56">
        <f t="shared" si="5"/>
        <v>0.17051330000685994</v>
      </c>
      <c r="O56">
        <f t="shared" ca="1" si="4"/>
        <v>0.16456960541268215</v>
      </c>
      <c r="Q56" s="2">
        <f t="shared" si="8"/>
        <v>33937.963000000003</v>
      </c>
      <c r="R56" s="2"/>
      <c r="S56" s="2"/>
      <c r="T56" s="2"/>
    </row>
    <row r="57" spans="1:21">
      <c r="A57" s="39" t="s">
        <v>52</v>
      </c>
      <c r="B57" s="42"/>
      <c r="C57" s="39">
        <v>49630.546999999999</v>
      </c>
      <c r="D57" s="39" t="s">
        <v>53</v>
      </c>
      <c r="E57">
        <f t="shared" si="6"/>
        <v>9468.0826099422811</v>
      </c>
      <c r="F57">
        <f t="shared" si="7"/>
        <v>9468</v>
      </c>
      <c r="G57">
        <f t="shared" si="3"/>
        <v>0.17566440000518924</v>
      </c>
      <c r="I57">
        <f t="shared" si="5"/>
        <v>0.17566440000518924</v>
      </c>
      <c r="O57">
        <f t="shared" ca="1" si="4"/>
        <v>0.17685599980402747</v>
      </c>
      <c r="Q57" s="2">
        <f t="shared" si="8"/>
        <v>34612.046999999999</v>
      </c>
      <c r="R57" s="2"/>
      <c r="S57" s="2"/>
      <c r="T57" s="2"/>
    </row>
    <row r="58" spans="1:21">
      <c r="A58" s="68" t="s">
        <v>215</v>
      </c>
      <c r="B58" s="69" t="s">
        <v>44</v>
      </c>
      <c r="C58" s="68">
        <v>50672.510699999999</v>
      </c>
      <c r="D58" s="68" t="s">
        <v>53</v>
      </c>
      <c r="E58">
        <f t="shared" si="6"/>
        <v>9958.0883317343323</v>
      </c>
      <c r="F58">
        <f t="shared" si="7"/>
        <v>9958</v>
      </c>
      <c r="G58">
        <f t="shared" si="3"/>
        <v>0.18783140000596177</v>
      </c>
      <c r="J58">
        <f>G58</f>
        <v>0.18783140000596177</v>
      </c>
      <c r="O58">
        <f t="shared" ca="1" si="4"/>
        <v>0.19584758734900928</v>
      </c>
      <c r="Q58" s="2">
        <f t="shared" si="8"/>
        <v>35654.010699999999</v>
      </c>
      <c r="R58" s="2"/>
      <c r="S58" s="2"/>
      <c r="T58" s="2"/>
    </row>
    <row r="59" spans="1:21">
      <c r="A59" s="68" t="s">
        <v>215</v>
      </c>
      <c r="B59" s="69" t="s">
        <v>44</v>
      </c>
      <c r="C59" s="68">
        <v>50704.413399999998</v>
      </c>
      <c r="D59" s="68" t="s">
        <v>53</v>
      </c>
      <c r="E59">
        <f t="shared" si="6"/>
        <v>9973.0912589386244</v>
      </c>
      <c r="F59">
        <f t="shared" si="7"/>
        <v>9973</v>
      </c>
      <c r="G59">
        <f t="shared" si="3"/>
        <v>0.19405589999951189</v>
      </c>
      <c r="J59">
        <f>G59</f>
        <v>0.19405589999951189</v>
      </c>
      <c r="O59">
        <f t="shared" ref="O59:O83" ca="1" si="9">+C$11+C$12*F59</f>
        <v>0.19642896247793726</v>
      </c>
      <c r="Q59" s="2">
        <f t="shared" si="8"/>
        <v>35685.913399999998</v>
      </c>
      <c r="R59" s="2"/>
      <c r="S59" s="2"/>
      <c r="T59" s="2"/>
    </row>
    <row r="60" spans="1:21">
      <c r="A60" s="22" t="s">
        <v>66</v>
      </c>
      <c r="B60" s="51" t="s">
        <v>44</v>
      </c>
      <c r="C60" s="44">
        <v>50717.169000000002</v>
      </c>
      <c r="D60" s="39"/>
      <c r="E60">
        <f t="shared" si="6"/>
        <v>9979.0898527331046</v>
      </c>
      <c r="F60">
        <f t="shared" si="7"/>
        <v>9979</v>
      </c>
      <c r="G60">
        <f t="shared" si="3"/>
        <v>0.19106570000440115</v>
      </c>
      <c r="I60">
        <f>G60</f>
        <v>0.19106570000440115</v>
      </c>
      <c r="O60">
        <f t="shared" ca="1" si="9"/>
        <v>0.1966615125295085</v>
      </c>
      <c r="Q60" s="2">
        <f t="shared" si="8"/>
        <v>35698.669000000002</v>
      </c>
      <c r="R60" s="2"/>
      <c r="S60" s="2"/>
      <c r="T60" s="2"/>
    </row>
    <row r="61" spans="1:21">
      <c r="A61" s="15" t="s">
        <v>33</v>
      </c>
      <c r="B61" s="15"/>
      <c r="C61" s="43">
        <v>50753.321000000004</v>
      </c>
      <c r="D61" s="44">
        <v>8.0000000000000002E-3</v>
      </c>
      <c r="E61">
        <f t="shared" si="6"/>
        <v>9996.091104172312</v>
      </c>
      <c r="F61">
        <f t="shared" si="7"/>
        <v>9996</v>
      </c>
      <c r="G61">
        <f t="shared" si="3"/>
        <v>0.1937268000037875</v>
      </c>
      <c r="I61">
        <f>G61</f>
        <v>0.1937268000037875</v>
      </c>
      <c r="O61">
        <f t="shared" ca="1" si="9"/>
        <v>0.19732040434229356</v>
      </c>
      <c r="Q61" s="2">
        <f t="shared" si="8"/>
        <v>35734.821000000004</v>
      </c>
      <c r="R61" s="2"/>
      <c r="S61" s="2"/>
      <c r="T61" s="2"/>
    </row>
    <row r="62" spans="1:21">
      <c r="A62" s="15" t="s">
        <v>33</v>
      </c>
      <c r="B62" s="15"/>
      <c r="C62" s="43">
        <v>50753.325499999999</v>
      </c>
      <c r="D62" s="44">
        <v>8.0000000000000004E-4</v>
      </c>
      <c r="E62">
        <f t="shared" si="6"/>
        <v>9996.0932203935827</v>
      </c>
      <c r="F62">
        <f t="shared" si="7"/>
        <v>9996</v>
      </c>
      <c r="G62">
        <f t="shared" si="3"/>
        <v>0.19822679999924731</v>
      </c>
      <c r="J62">
        <f>G62</f>
        <v>0.19822679999924731</v>
      </c>
      <c r="O62">
        <f t="shared" ca="1" si="9"/>
        <v>0.19732040434229356</v>
      </c>
      <c r="Q62" s="2">
        <f t="shared" si="8"/>
        <v>35734.825499999999</v>
      </c>
      <c r="R62" s="2"/>
      <c r="S62" s="2"/>
      <c r="T62" s="2"/>
    </row>
    <row r="63" spans="1:21" ht="12.75" customHeight="1">
      <c r="A63" s="68" t="s">
        <v>240</v>
      </c>
      <c r="B63" s="69" t="s">
        <v>44</v>
      </c>
      <c r="C63" s="68">
        <v>52118.515099999997</v>
      </c>
      <c r="D63" s="68" t="s">
        <v>53</v>
      </c>
      <c r="E63">
        <f t="shared" si="6"/>
        <v>10638.10283678521</v>
      </c>
      <c r="F63">
        <f t="shared" si="7"/>
        <v>10638</v>
      </c>
      <c r="G63">
        <f t="shared" si="3"/>
        <v>0.21867539999948349</v>
      </c>
      <c r="K63">
        <f>G63</f>
        <v>0.21867539999948349</v>
      </c>
      <c r="O63">
        <f t="shared" ca="1" si="9"/>
        <v>0.22220325986041253</v>
      </c>
      <c r="Q63" s="2">
        <f t="shared" si="8"/>
        <v>37100.015099999997</v>
      </c>
      <c r="R63" s="2"/>
      <c r="S63" s="2"/>
      <c r="T63" s="2"/>
    </row>
    <row r="64" spans="1:21">
      <c r="A64" s="39" t="s">
        <v>54</v>
      </c>
      <c r="B64" s="42" t="s">
        <v>44</v>
      </c>
      <c r="C64" s="39">
        <v>52119.514300000003</v>
      </c>
      <c r="D64" s="39" t="s">
        <v>56</v>
      </c>
      <c r="E64">
        <f t="shared" si="6"/>
        <v>10638.572731962191</v>
      </c>
      <c r="F64">
        <f t="shared" si="7"/>
        <v>10638.5</v>
      </c>
      <c r="O64">
        <f t="shared" ca="1" si="9"/>
        <v>0.22222263903137682</v>
      </c>
      <c r="Q64" s="2">
        <f t="shared" si="8"/>
        <v>37101.014300000003</v>
      </c>
      <c r="R64" s="2"/>
      <c r="S64" s="2"/>
      <c r="T64" s="2"/>
      <c r="U64" s="16">
        <f>+C64-(C$7+F64*C$8)</f>
        <v>0.15465955000399845</v>
      </c>
    </row>
    <row r="65" spans="1:21">
      <c r="A65" s="15" t="s">
        <v>37</v>
      </c>
      <c r="B65" s="15"/>
      <c r="C65" s="44">
        <v>52505.530200000001</v>
      </c>
      <c r="D65" s="44">
        <v>1E-4</v>
      </c>
      <c r="E65">
        <f t="shared" si="6"/>
        <v>10820.104967396792</v>
      </c>
      <c r="F65">
        <f t="shared" si="7"/>
        <v>10820</v>
      </c>
      <c r="G65">
        <f>+C65-(C$7+F65*C$8)</f>
        <v>0.2232060000023921</v>
      </c>
      <c r="J65">
        <f>G65</f>
        <v>0.2232060000023921</v>
      </c>
      <c r="O65">
        <f t="shared" ca="1" si="9"/>
        <v>0.22925727809140581</v>
      </c>
      <c r="Q65" s="2">
        <f t="shared" si="8"/>
        <v>37487.030200000001</v>
      </c>
      <c r="R65" s="2"/>
      <c r="S65" s="2"/>
      <c r="T65" s="2"/>
      <c r="U65" s="16"/>
    </row>
    <row r="66" spans="1:21">
      <c r="A66" s="48" t="s">
        <v>40</v>
      </c>
      <c r="B66" s="49" t="s">
        <v>59</v>
      </c>
      <c r="C66" s="48">
        <v>52791.402999999998</v>
      </c>
      <c r="D66" s="48">
        <v>5.0000000000000001E-3</v>
      </c>
      <c r="E66">
        <f t="shared" si="6"/>
        <v>10954.542767585717</v>
      </c>
      <c r="F66">
        <f t="shared" si="7"/>
        <v>10954.5</v>
      </c>
      <c r="O66">
        <f t="shared" ca="1" si="9"/>
        <v>0.23447027508079363</v>
      </c>
      <c r="Q66" s="2">
        <f t="shared" si="8"/>
        <v>37772.902999999998</v>
      </c>
      <c r="R66" s="2"/>
      <c r="S66" s="2"/>
      <c r="T66" s="2"/>
      <c r="U66" s="16">
        <f>+C66-(C$7+F66*C$8)</f>
        <v>9.0942350005207118E-2</v>
      </c>
    </row>
    <row r="67" spans="1:21">
      <c r="A67" s="39" t="s">
        <v>55</v>
      </c>
      <c r="B67" s="42" t="s">
        <v>44</v>
      </c>
      <c r="C67" s="45">
        <v>53177.3796</v>
      </c>
      <c r="D67" s="45">
        <v>8.9999999999999998E-4</v>
      </c>
      <c r="E67">
        <f t="shared" si="6"/>
        <v>11136.056521354531</v>
      </c>
      <c r="F67">
        <f t="shared" si="7"/>
        <v>11136</v>
      </c>
      <c r="J67" s="40"/>
      <c r="O67">
        <f t="shared" ca="1" si="9"/>
        <v>0.24150491414082262</v>
      </c>
      <c r="Q67" s="2">
        <f t="shared" si="8"/>
        <v>38158.8796</v>
      </c>
      <c r="R67" s="2"/>
      <c r="S67" s="2"/>
      <c r="T67" s="2"/>
      <c r="U67" s="16">
        <f>+C67-(C$7+F67*C$8)</f>
        <v>0.12018880000687204</v>
      </c>
    </row>
    <row r="68" spans="1:21">
      <c r="A68" s="22" t="s">
        <v>43</v>
      </c>
      <c r="B68" s="46" t="s">
        <v>44</v>
      </c>
      <c r="C68" s="47">
        <v>53998.317199999998</v>
      </c>
      <c r="D68" s="47">
        <v>2.0000000000000001E-4</v>
      </c>
      <c r="E68">
        <f t="shared" si="6"/>
        <v>11522.119990968908</v>
      </c>
      <c r="F68">
        <f t="shared" si="7"/>
        <v>11522</v>
      </c>
      <c r="G68">
        <f>+C68-(C$7+F68*C$8)</f>
        <v>0.25515259999519913</v>
      </c>
      <c r="K68">
        <f>G68</f>
        <v>0.25515259999519913</v>
      </c>
      <c r="O68">
        <f t="shared" ca="1" si="9"/>
        <v>0.25646563412523682</v>
      </c>
      <c r="Q68" s="2">
        <f t="shared" si="8"/>
        <v>38979.817199999998</v>
      </c>
      <c r="R68" s="2"/>
      <c r="S68" s="2"/>
      <c r="T68" s="2"/>
      <c r="U68" s="16"/>
    </row>
    <row r="69" spans="1:21">
      <c r="A69" s="39" t="s">
        <v>54</v>
      </c>
      <c r="B69" s="42" t="s">
        <v>44</v>
      </c>
      <c r="C69" s="39">
        <v>54240.382030000001</v>
      </c>
      <c r="D69" s="39">
        <v>2.9999999999999997E-4</v>
      </c>
      <c r="E69">
        <f t="shared" si="6"/>
        <v>11635.956156033604</v>
      </c>
      <c r="F69">
        <f t="shared" si="7"/>
        <v>11636</v>
      </c>
      <c r="O69">
        <f t="shared" ca="1" si="9"/>
        <v>0.26088408510508976</v>
      </c>
      <c r="Q69" s="2">
        <f t="shared" si="8"/>
        <v>39221.882030000001</v>
      </c>
      <c r="R69" s="2"/>
      <c r="S69" s="2"/>
      <c r="T69" s="2"/>
      <c r="U69" s="16">
        <f>+C69-(C$7+F69*C$8)</f>
        <v>-9.3231200000445824E-2</v>
      </c>
    </row>
    <row r="70" spans="1:21">
      <c r="A70" s="39" t="s">
        <v>58</v>
      </c>
      <c r="B70" s="42" t="s">
        <v>57</v>
      </c>
      <c r="C70" s="39">
        <v>54499.53585</v>
      </c>
      <c r="D70" s="39">
        <v>1E-4</v>
      </c>
      <c r="E70">
        <f t="shared" si="6"/>
        <v>11757.828784249221</v>
      </c>
      <c r="F70">
        <f t="shared" si="7"/>
        <v>11758</v>
      </c>
      <c r="O70">
        <f t="shared" ca="1" si="9"/>
        <v>0.26561260282037091</v>
      </c>
      <c r="Q70" s="2">
        <f t="shared" si="8"/>
        <v>39481.03585</v>
      </c>
      <c r="R70" s="2"/>
      <c r="S70" s="2"/>
      <c r="T70" s="2"/>
      <c r="U70" s="16">
        <f>+C70-(C$7+F70*C$8)</f>
        <v>-0.36407859999599168</v>
      </c>
    </row>
    <row r="71" spans="1:21">
      <c r="A71" s="39" t="s">
        <v>58</v>
      </c>
      <c r="B71" s="42" t="s">
        <v>57</v>
      </c>
      <c r="C71" s="39">
        <v>54508.664960000002</v>
      </c>
      <c r="D71" s="39">
        <v>5.0000000000000001E-4</v>
      </c>
      <c r="E71">
        <f t="shared" si="6"/>
        <v>11762.121943535738</v>
      </c>
      <c r="F71">
        <f t="shared" si="7"/>
        <v>11762</v>
      </c>
      <c r="G71">
        <f>+C71-(C$7+F71*C$8)</f>
        <v>0.25930460000381572</v>
      </c>
      <c r="K71">
        <f>G71</f>
        <v>0.25930460000381572</v>
      </c>
      <c r="O71">
        <f t="shared" ca="1" si="9"/>
        <v>0.26576763618808508</v>
      </c>
      <c r="Q71" s="2">
        <f t="shared" si="8"/>
        <v>39490.164960000002</v>
      </c>
      <c r="R71" s="2"/>
      <c r="S71" s="2"/>
      <c r="T71" s="2"/>
      <c r="U71" s="16"/>
    </row>
    <row r="72" spans="1:21">
      <c r="A72" s="68" t="s">
        <v>58</v>
      </c>
      <c r="B72" s="69" t="s">
        <v>44</v>
      </c>
      <c r="C72" s="68">
        <v>54536.314400000003</v>
      </c>
      <c r="D72" s="68" t="s">
        <v>53</v>
      </c>
      <c r="E72">
        <f t="shared" si="6"/>
        <v>11775.124684230397</v>
      </c>
      <c r="F72">
        <f t="shared" si="7"/>
        <v>11775</v>
      </c>
      <c r="G72">
        <f>+C72-(C$7+F72*C$8)</f>
        <v>0.26513250000425614</v>
      </c>
      <c r="K72">
        <f>G72</f>
        <v>0.26513250000425614</v>
      </c>
      <c r="O72">
        <f t="shared" ca="1" si="9"/>
        <v>0.26627149463315603</v>
      </c>
      <c r="Q72" s="2">
        <f t="shared" si="8"/>
        <v>39517.814400000003</v>
      </c>
      <c r="R72" s="2"/>
      <c r="S72" s="2"/>
      <c r="T72" s="2"/>
    </row>
    <row r="73" spans="1:21">
      <c r="A73" s="39" t="s">
        <v>58</v>
      </c>
      <c r="B73" s="42" t="s">
        <v>44</v>
      </c>
      <c r="C73" s="39">
        <v>54536.314440000002</v>
      </c>
      <c r="D73" s="39">
        <v>4.0000000000000002E-4</v>
      </c>
      <c r="E73">
        <f t="shared" si="6"/>
        <v>11775.124703041252</v>
      </c>
      <c r="F73">
        <f t="shared" si="7"/>
        <v>11775</v>
      </c>
      <c r="G73">
        <f>+C73-(C$7+F73*C$8)</f>
        <v>0.26517250000324566</v>
      </c>
      <c r="K73">
        <f>G73</f>
        <v>0.26517250000324566</v>
      </c>
      <c r="O73">
        <f t="shared" ca="1" si="9"/>
        <v>0.26627149463315603</v>
      </c>
      <c r="Q73" s="2">
        <f t="shared" si="8"/>
        <v>39517.814440000002</v>
      </c>
      <c r="R73" s="2"/>
      <c r="S73" s="2"/>
      <c r="T73" s="2"/>
      <c r="U73" s="16"/>
    </row>
    <row r="74" spans="1:21">
      <c r="A74" s="68" t="s">
        <v>58</v>
      </c>
      <c r="B74" s="69" t="s">
        <v>44</v>
      </c>
      <c r="C74" s="68">
        <v>54536.3151</v>
      </c>
      <c r="D74" s="68" t="s">
        <v>53</v>
      </c>
      <c r="E74">
        <f t="shared" si="6"/>
        <v>11775.125013420371</v>
      </c>
      <c r="F74">
        <f t="shared" si="7"/>
        <v>11775</v>
      </c>
      <c r="G74">
        <f>+C74-(C$7+F74*C$8)</f>
        <v>0.26583250000112457</v>
      </c>
      <c r="K74">
        <f>G74</f>
        <v>0.26583250000112457</v>
      </c>
      <c r="O74">
        <f t="shared" ca="1" si="9"/>
        <v>0.26627149463315603</v>
      </c>
      <c r="Q74" s="2">
        <f t="shared" si="8"/>
        <v>39517.8151</v>
      </c>
      <c r="R74" s="2"/>
      <c r="S74" s="2"/>
      <c r="T74" s="2"/>
    </row>
    <row r="75" spans="1:21">
      <c r="A75" s="48" t="s">
        <v>58</v>
      </c>
      <c r="B75" s="49" t="s">
        <v>44</v>
      </c>
      <c r="C75" s="48">
        <v>54536.315139999999</v>
      </c>
      <c r="D75" s="48">
        <v>2.0000000000000001E-4</v>
      </c>
      <c r="E75">
        <f t="shared" si="6"/>
        <v>11775.125032231226</v>
      </c>
      <c r="F75">
        <f t="shared" si="7"/>
        <v>11775</v>
      </c>
      <c r="G75">
        <f>+C75-(C$7+F75*C$8)</f>
        <v>0.26587250000011409</v>
      </c>
      <c r="K75">
        <f>G75</f>
        <v>0.26587250000011409</v>
      </c>
      <c r="O75">
        <f t="shared" ca="1" si="9"/>
        <v>0.26627149463315603</v>
      </c>
      <c r="Q75" s="2">
        <f t="shared" si="8"/>
        <v>39517.815139999999</v>
      </c>
      <c r="R75" s="2"/>
      <c r="S75" s="2"/>
      <c r="T75" s="2"/>
    </row>
    <row r="76" spans="1:21">
      <c r="A76" s="39" t="s">
        <v>58</v>
      </c>
      <c r="B76" s="42" t="s">
        <v>57</v>
      </c>
      <c r="C76" s="39">
        <v>54556.35961</v>
      </c>
      <c r="D76" s="39">
        <v>2.9999999999999997E-4</v>
      </c>
      <c r="E76">
        <f t="shared" si="6"/>
        <v>11784.551373081958</v>
      </c>
      <c r="F76">
        <f t="shared" si="7"/>
        <v>11784.5</v>
      </c>
      <c r="O76">
        <f t="shared" ca="1" si="9"/>
        <v>0.26663969888147709</v>
      </c>
      <c r="Q76" s="2">
        <f t="shared" si="8"/>
        <v>39537.85961</v>
      </c>
      <c r="R76" s="2"/>
      <c r="S76" s="2"/>
      <c r="T76" s="2"/>
      <c r="U76" s="16">
        <f>+C76-(C$7+F76*C$8)</f>
        <v>0.10924135000095703</v>
      </c>
    </row>
    <row r="77" spans="1:21">
      <c r="A77" s="39" t="s">
        <v>51</v>
      </c>
      <c r="B77" s="42" t="s">
        <v>44</v>
      </c>
      <c r="C77" s="39">
        <v>54761.727099999996</v>
      </c>
      <c r="D77" s="39">
        <v>5.0000000000000001E-4</v>
      </c>
      <c r="E77">
        <f t="shared" si="6"/>
        <v>11881.12982890539</v>
      </c>
      <c r="F77">
        <f t="shared" si="7"/>
        <v>11881</v>
      </c>
      <c r="G77">
        <f t="shared" ref="G77:G83" si="10">+C77-(C$7+F77*C$8)</f>
        <v>0.27607230000285199</v>
      </c>
      <c r="K77">
        <f>G77</f>
        <v>0.27607230000285199</v>
      </c>
      <c r="O77">
        <f t="shared" ca="1" si="9"/>
        <v>0.27037987887758064</v>
      </c>
      <c r="Q77" s="2">
        <f t="shared" si="8"/>
        <v>39743.227099999996</v>
      </c>
      <c r="R77" s="2"/>
      <c r="S77" s="2"/>
      <c r="T77" s="2"/>
      <c r="U77" s="16"/>
    </row>
    <row r="78" spans="1:21">
      <c r="A78" s="48" t="s">
        <v>60</v>
      </c>
      <c r="B78" s="49" t="s">
        <v>44</v>
      </c>
      <c r="C78" s="48">
        <v>54840.402999999998</v>
      </c>
      <c r="D78" s="48">
        <v>2.9999999999999997E-4</v>
      </c>
      <c r="E78">
        <f t="shared" si="6"/>
        <v>11918.128854079818</v>
      </c>
      <c r="F78">
        <f t="shared" si="7"/>
        <v>11918</v>
      </c>
      <c r="G78">
        <f t="shared" si="10"/>
        <v>0.27399940000032075</v>
      </c>
      <c r="J78">
        <f>G78</f>
        <v>0.27399940000032075</v>
      </c>
      <c r="O78">
        <f t="shared" ca="1" si="9"/>
        <v>0.27181393752893634</v>
      </c>
      <c r="Q78" s="2">
        <f t="shared" si="8"/>
        <v>39821.902999999998</v>
      </c>
      <c r="R78" s="2"/>
      <c r="S78" s="2"/>
      <c r="T78" s="2"/>
    </row>
    <row r="79" spans="1:21">
      <c r="A79" s="68" t="s">
        <v>279</v>
      </c>
      <c r="B79" s="69" t="s">
        <v>44</v>
      </c>
      <c r="C79" s="68">
        <v>55059.427900000002</v>
      </c>
      <c r="D79" s="68" t="s">
        <v>53</v>
      </c>
      <c r="E79">
        <f t="shared" si="6"/>
        <v>12021.129999143637</v>
      </c>
      <c r="F79">
        <f t="shared" si="7"/>
        <v>12021</v>
      </c>
      <c r="G79">
        <f t="shared" si="10"/>
        <v>0.27643430000898661</v>
      </c>
      <c r="J79">
        <f>G79</f>
        <v>0.27643430000898661</v>
      </c>
      <c r="O79">
        <f t="shared" ca="1" si="9"/>
        <v>0.27580604674757536</v>
      </c>
      <c r="Q79" s="2">
        <f t="shared" si="8"/>
        <v>40040.927900000002</v>
      </c>
      <c r="R79" s="2"/>
      <c r="S79" s="2"/>
      <c r="T79" s="2"/>
    </row>
    <row r="80" spans="1:21">
      <c r="A80" s="54" t="s">
        <v>68</v>
      </c>
      <c r="B80" s="54"/>
      <c r="C80" s="52">
        <v>55514.496400000004</v>
      </c>
      <c r="D80" s="52">
        <v>3.5000000000000001E-3</v>
      </c>
      <c r="E80">
        <f t="shared" si="6"/>
        <v>12235.135697045904</v>
      </c>
      <c r="F80">
        <f t="shared" si="7"/>
        <v>12235</v>
      </c>
      <c r="G80">
        <f t="shared" si="10"/>
        <v>0.28855050000129268</v>
      </c>
      <c r="J80">
        <f>G80</f>
        <v>0.28855050000129268</v>
      </c>
      <c r="O80">
        <f t="shared" ca="1" si="9"/>
        <v>0.28410033192028172</v>
      </c>
      <c r="Q80" s="2">
        <f t="shared" si="8"/>
        <v>40495.996400000004</v>
      </c>
      <c r="R80" s="2"/>
      <c r="S80" s="2"/>
      <c r="T80" s="2"/>
    </row>
    <row r="81" spans="1:20">
      <c r="A81" s="48" t="s">
        <v>61</v>
      </c>
      <c r="B81" s="49" t="s">
        <v>44</v>
      </c>
      <c r="C81" s="48">
        <v>55903.635199999997</v>
      </c>
      <c r="D81" s="48">
        <v>5.9999999999999995E-4</v>
      </c>
      <c r="E81">
        <f t="shared" si="6"/>
        <v>12418.136543017112</v>
      </c>
      <c r="F81">
        <f t="shared" si="7"/>
        <v>12418</v>
      </c>
      <c r="G81">
        <f t="shared" si="10"/>
        <v>0.29034939999837661</v>
      </c>
      <c r="K81">
        <f>G81</f>
        <v>0.29034939999837661</v>
      </c>
      <c r="O81">
        <f t="shared" ca="1" si="9"/>
        <v>0.29119310849320346</v>
      </c>
      <c r="Q81" s="2">
        <f t="shared" si="8"/>
        <v>40885.135199999997</v>
      </c>
      <c r="R81" s="2"/>
      <c r="S81" s="2"/>
      <c r="T81" s="2"/>
    </row>
    <row r="82" spans="1:20" ht="12" customHeight="1">
      <c r="A82" s="50" t="s">
        <v>64</v>
      </c>
      <c r="B82" s="42" t="s">
        <v>44</v>
      </c>
      <c r="C82" s="39">
        <v>56273.642699999997</v>
      </c>
      <c r="D82" s="39">
        <v>4.0000000000000002E-4</v>
      </c>
      <c r="E82">
        <f t="shared" si="6"/>
        <v>12592.140485866534</v>
      </c>
      <c r="F82">
        <f t="shared" si="7"/>
        <v>12592</v>
      </c>
      <c r="G82">
        <f t="shared" si="10"/>
        <v>0.29873360000055982</v>
      </c>
      <c r="J82">
        <f>G82</f>
        <v>0.29873360000055982</v>
      </c>
      <c r="O82">
        <f t="shared" ca="1" si="9"/>
        <v>0.29793705998876852</v>
      </c>
      <c r="Q82" s="2">
        <f t="shared" si="8"/>
        <v>41255.142699999997</v>
      </c>
      <c r="R82" s="2"/>
      <c r="S82" s="2"/>
      <c r="T82" s="2"/>
    </row>
    <row r="83" spans="1:20" ht="12" customHeight="1">
      <c r="A83" s="53" t="s">
        <v>67</v>
      </c>
      <c r="B83" s="46" t="s">
        <v>44</v>
      </c>
      <c r="C83" s="44">
        <v>56540.513400000003</v>
      </c>
      <c r="D83" s="47">
        <v>8.8999999999999999E-3</v>
      </c>
      <c r="E83">
        <f t="shared" si="6"/>
        <v>12717.642141997792</v>
      </c>
      <c r="F83">
        <f t="shared" si="7"/>
        <v>12717.5</v>
      </c>
      <c r="G83">
        <f t="shared" si="10"/>
        <v>0.30225525000423659</v>
      </c>
      <c r="J83">
        <f>G83</f>
        <v>0.30225525000423659</v>
      </c>
      <c r="O83">
        <f t="shared" ca="1" si="9"/>
        <v>0.30280123190079955</v>
      </c>
      <c r="Q83" s="2">
        <f t="shared" si="8"/>
        <v>41522.013400000003</v>
      </c>
      <c r="R83" s="2"/>
      <c r="S83" s="2"/>
      <c r="T83" s="2"/>
    </row>
    <row r="84" spans="1:20" ht="12" customHeight="1">
      <c r="A84" s="70" t="s">
        <v>0</v>
      </c>
      <c r="B84" s="71" t="s">
        <v>44</v>
      </c>
      <c r="C84" s="72">
        <v>57264.5818</v>
      </c>
      <c r="D84" s="72" t="s">
        <v>1</v>
      </c>
      <c r="E84">
        <f>+(C84-C$7)/C$8</f>
        <v>13058.150797883611</v>
      </c>
      <c r="F84">
        <f t="shared" si="7"/>
        <v>13058</v>
      </c>
      <c r="G84">
        <f>+C84-(C$7+F84*C$8)</f>
        <v>0.32066140000097221</v>
      </c>
      <c r="K84">
        <f>G84</f>
        <v>0.32066140000097221</v>
      </c>
      <c r="O84">
        <f ca="1">+C$11+C$12*F84</f>
        <v>0.3159984473274654</v>
      </c>
      <c r="Q84" s="2">
        <f>+C84-15018.5</f>
        <v>42246.0818</v>
      </c>
    </row>
    <row r="85" spans="1:20" ht="12" customHeight="1">
      <c r="A85" s="73" t="s">
        <v>296</v>
      </c>
      <c r="B85" s="74" t="s">
        <v>44</v>
      </c>
      <c r="C85" s="75">
        <v>57668.606489999998</v>
      </c>
      <c r="D85" s="75">
        <v>2.9999999999999997E-4</v>
      </c>
      <c r="E85">
        <f>+(C85-C$7)/C$8</f>
        <v>13248.152052097417</v>
      </c>
      <c r="F85">
        <f t="shared" si="7"/>
        <v>13248</v>
      </c>
      <c r="G85">
        <f>+C85-(C$7+F85*C$8)</f>
        <v>0.32332840000162832</v>
      </c>
      <c r="K85">
        <f>G85</f>
        <v>0.32332840000162832</v>
      </c>
      <c r="O85">
        <f ca="1">+C$11+C$12*F85</f>
        <v>0.32336253229388701</v>
      </c>
      <c r="Q85" s="2">
        <f>+C85-15018.5</f>
        <v>42650.106489999998</v>
      </c>
    </row>
    <row r="86" spans="1:20" ht="12" customHeight="1">
      <c r="A86" s="76" t="s">
        <v>297</v>
      </c>
      <c r="B86" s="77" t="s">
        <v>44</v>
      </c>
      <c r="C86" s="78">
        <v>59112.480600000003</v>
      </c>
      <c r="D86" s="76">
        <v>1.5E-3</v>
      </c>
      <c r="E86">
        <f t="shared" ref="E86:E88" si="11">+(C86-C$7)/C$8</f>
        <v>13927.164742700179</v>
      </c>
      <c r="F86">
        <f t="shared" ref="F86:F88" si="12">ROUND(2*E86,0)/2</f>
        <v>13927</v>
      </c>
      <c r="G86">
        <f t="shared" ref="G86:G88" si="13">+C86-(C$7+F86*C$8)</f>
        <v>0.35031410000374308</v>
      </c>
      <c r="K86">
        <f t="shared" ref="K86:K88" si="14">G86</f>
        <v>0.35031410000374308</v>
      </c>
      <c r="O86">
        <f t="shared" ref="O86:O88" ca="1" si="15">+C$11+C$12*F86</f>
        <v>0.34967944646336169</v>
      </c>
      <c r="Q86" s="2">
        <f t="shared" ref="Q86:Q88" si="16">+C86-15018.5</f>
        <v>44093.980600000003</v>
      </c>
    </row>
    <row r="87" spans="1:20" ht="12" customHeight="1">
      <c r="A87" s="76" t="s">
        <v>297</v>
      </c>
      <c r="B87" s="77" t="s">
        <v>44</v>
      </c>
      <c r="C87" s="78">
        <v>59465.476900000001</v>
      </c>
      <c r="D87" s="76">
        <v>8.0000000000000004E-4</v>
      </c>
      <c r="E87">
        <f t="shared" si="11"/>
        <v>14093.168804810426</v>
      </c>
      <c r="F87">
        <f t="shared" si="12"/>
        <v>14093</v>
      </c>
      <c r="G87">
        <f t="shared" si="13"/>
        <v>0.35895190000155708</v>
      </c>
      <c r="K87">
        <f t="shared" si="14"/>
        <v>0.35895190000155708</v>
      </c>
      <c r="O87">
        <f t="shared" ca="1" si="15"/>
        <v>0.35611333122349842</v>
      </c>
      <c r="Q87" s="2">
        <f t="shared" si="16"/>
        <v>44446.976900000001</v>
      </c>
    </row>
    <row r="88" spans="1:20" ht="12" customHeight="1">
      <c r="A88" s="79" t="s">
        <v>298</v>
      </c>
      <c r="B88" s="77" t="s">
        <v>44</v>
      </c>
      <c r="C88" s="78">
        <v>59548.408499999998</v>
      </c>
      <c r="D88" s="76">
        <v>1E-4</v>
      </c>
      <c r="E88">
        <f t="shared" si="11"/>
        <v>14132.169163956689</v>
      </c>
      <c r="F88">
        <f t="shared" si="12"/>
        <v>14132</v>
      </c>
      <c r="G88">
        <f t="shared" si="13"/>
        <v>0.35971559999597957</v>
      </c>
      <c r="K88">
        <f t="shared" si="14"/>
        <v>0.35971559999597957</v>
      </c>
      <c r="O88">
        <f t="shared" ca="1" si="15"/>
        <v>0.35762490655871126</v>
      </c>
      <c r="Q88" s="2">
        <f t="shared" si="16"/>
        <v>44529.908499999998</v>
      </c>
    </row>
    <row r="89" spans="1:20" ht="12" customHeight="1">
      <c r="A89" s="80" t="s">
        <v>299</v>
      </c>
      <c r="B89" s="81" t="s">
        <v>44</v>
      </c>
      <c r="C89" s="78">
        <v>59805.705999999998</v>
      </c>
      <c r="D89" s="76">
        <v>5.9999999999999995E-4</v>
      </c>
      <c r="E89">
        <f t="shared" ref="E89" si="17">+(C89-C$7)/C$8</f>
        <v>14253.168817978025</v>
      </c>
      <c r="F89">
        <f t="shared" ref="F89" si="18">ROUND(2*E89,0)/2</f>
        <v>14253</v>
      </c>
      <c r="G89">
        <f t="shared" ref="G89" si="19">+C89-(C$7+F89*C$8)</f>
        <v>0.35897989999648416</v>
      </c>
      <c r="K89">
        <f t="shared" ref="K89" si="20">G89</f>
        <v>0.35897989999648416</v>
      </c>
      <c r="O89">
        <f t="shared" ref="O89" ca="1" si="21">+C$11+C$12*F89</f>
        <v>0.36231466593206385</v>
      </c>
      <c r="Q89" s="2">
        <f t="shared" ref="Q89" si="22">+C89-15018.5</f>
        <v>44787.205999999998</v>
      </c>
    </row>
    <row r="90" spans="1:20" ht="12" customHeight="1">
      <c r="A90" s="82" t="s">
        <v>300</v>
      </c>
      <c r="B90" s="83" t="s">
        <v>44</v>
      </c>
      <c r="C90" s="84">
        <v>59929.045100000221</v>
      </c>
      <c r="D90" s="19"/>
      <c r="E90">
        <f t="shared" ref="E90:E91" si="23">+(C90-C$7)/C$8</f>
        <v>14311.171668481156</v>
      </c>
      <c r="F90">
        <f t="shared" ref="F90:F91" si="24">ROUND(2*E90,0)/2</f>
        <v>14311</v>
      </c>
      <c r="G90">
        <f t="shared" ref="G90:G91" si="25">+C90-(C$7+F90*C$8)</f>
        <v>0.36504130022512982</v>
      </c>
      <c r="K90">
        <f t="shared" ref="K90:K91" si="26">G90</f>
        <v>0.36504130022512982</v>
      </c>
      <c r="O90">
        <f t="shared" ref="O90:O91" ca="1" si="27">+C$11+C$12*F90</f>
        <v>0.36456264976391883</v>
      </c>
      <c r="Q90" s="2">
        <f t="shared" ref="Q90:Q91" si="28">+C90-15018.5</f>
        <v>44910.545100000221</v>
      </c>
    </row>
    <row r="91" spans="1:20" ht="12" customHeight="1">
      <c r="A91" s="82" t="s">
        <v>300</v>
      </c>
      <c r="B91" s="83" t="s">
        <v>44</v>
      </c>
      <c r="C91" s="84">
        <v>59929.045799999963</v>
      </c>
      <c r="D91" s="19"/>
      <c r="E91">
        <f t="shared" si="23"/>
        <v>14311.171997671012</v>
      </c>
      <c r="F91">
        <f t="shared" si="24"/>
        <v>14311</v>
      </c>
      <c r="G91">
        <f t="shared" si="25"/>
        <v>0.36574129996733973</v>
      </c>
      <c r="K91">
        <f t="shared" si="26"/>
        <v>0.36574129996733973</v>
      </c>
      <c r="O91">
        <f t="shared" ca="1" si="27"/>
        <v>0.36456264976391883</v>
      </c>
      <c r="Q91" s="2">
        <f t="shared" si="28"/>
        <v>44910.545799999963</v>
      </c>
    </row>
    <row r="92" spans="1:20" ht="12" customHeight="1">
      <c r="B92" s="6"/>
      <c r="C92" s="19"/>
      <c r="D92" s="19"/>
    </row>
    <row r="93" spans="1:20" ht="12" customHeight="1">
      <c r="B93" s="6"/>
      <c r="C93" s="19"/>
      <c r="D93" s="19"/>
    </row>
    <row r="94" spans="1:20" ht="12" customHeight="1">
      <c r="B94" s="6"/>
      <c r="C94" s="19"/>
      <c r="D94" s="19"/>
    </row>
    <row r="95" spans="1:20" ht="12" customHeight="1">
      <c r="B95" s="6"/>
      <c r="C95" s="19"/>
      <c r="D95" s="19"/>
    </row>
    <row r="96" spans="1:20" ht="12" customHeight="1">
      <c r="B96" s="6"/>
      <c r="C96" s="19"/>
      <c r="D96" s="19"/>
    </row>
    <row r="97" spans="3:4" ht="12" customHeight="1">
      <c r="C97" s="19"/>
      <c r="D97" s="19"/>
    </row>
    <row r="98" spans="3:4" ht="12" customHeight="1">
      <c r="C98" s="19"/>
      <c r="D98" s="19"/>
    </row>
    <row r="99" spans="3:4" ht="12" customHeight="1">
      <c r="C99" s="19"/>
      <c r="D99" s="19"/>
    </row>
    <row r="100" spans="3:4" ht="12" customHeight="1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</sheetData>
  <phoneticPr fontId="8" type="noConversion"/>
  <hyperlinks>
    <hyperlink ref="H250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3"/>
  <sheetViews>
    <sheetView topLeftCell="A23" workbookViewId="0">
      <selection activeCell="A24" sqref="A24:D63"/>
    </sheetView>
  </sheetViews>
  <sheetFormatPr defaultRowHeight="12.75"/>
  <cols>
    <col min="1" max="1" width="19.7109375" style="19" customWidth="1"/>
    <col min="2" max="2" width="4.42578125" style="26" customWidth="1"/>
    <col min="3" max="3" width="12.7109375" style="19" customWidth="1"/>
    <col min="4" max="4" width="5.42578125" style="26" customWidth="1"/>
    <col min="5" max="5" width="14.85546875" style="26" customWidth="1"/>
    <col min="6" max="6" width="9.140625" style="26"/>
    <col min="7" max="7" width="12" style="26" customWidth="1"/>
    <col min="8" max="8" width="14.140625" style="19" customWidth="1"/>
    <col min="9" max="9" width="22.5703125" style="26" customWidth="1"/>
    <col min="10" max="10" width="25.140625" style="26" customWidth="1"/>
    <col min="11" max="11" width="15.7109375" style="26" customWidth="1"/>
    <col min="12" max="12" width="14.140625" style="26" customWidth="1"/>
    <col min="13" max="13" width="9.5703125" style="26" customWidth="1"/>
    <col min="14" max="14" width="14.140625" style="26" customWidth="1"/>
    <col min="15" max="15" width="23.42578125" style="26" customWidth="1"/>
    <col min="16" max="16" width="16.5703125" style="26" customWidth="1"/>
    <col min="17" max="17" width="41" style="26" customWidth="1"/>
    <col min="18" max="16384" width="9.140625" style="26"/>
  </cols>
  <sheetData>
    <row r="1" spans="1:16" ht="15.75">
      <c r="A1" s="55" t="s">
        <v>69</v>
      </c>
      <c r="I1" s="56" t="s">
        <v>70</v>
      </c>
      <c r="J1" s="57" t="s">
        <v>56</v>
      </c>
    </row>
    <row r="2" spans="1:16">
      <c r="I2" s="58" t="s">
        <v>71</v>
      </c>
      <c r="J2" s="59" t="s">
        <v>72</v>
      </c>
    </row>
    <row r="3" spans="1:16">
      <c r="A3" s="60" t="s">
        <v>73</v>
      </c>
      <c r="I3" s="58" t="s">
        <v>74</v>
      </c>
      <c r="J3" s="59" t="s">
        <v>75</v>
      </c>
    </row>
    <row r="4" spans="1:16">
      <c r="I4" s="58" t="s">
        <v>76</v>
      </c>
      <c r="J4" s="59" t="s">
        <v>75</v>
      </c>
    </row>
    <row r="5" spans="1:16" ht="13.5" thickBot="1">
      <c r="I5" s="61" t="s">
        <v>77</v>
      </c>
      <c r="J5" s="62" t="s">
        <v>53</v>
      </c>
    </row>
    <row r="10" spans="1:16" ht="13.5" thickBot="1"/>
    <row r="11" spans="1:16" ht="12.75" customHeight="1" thickBot="1">
      <c r="A11" s="19" t="str">
        <f t="shared" ref="A11:A42" si="0">P11</f>
        <v>IBVS 1255 </v>
      </c>
      <c r="B11" s="6" t="str">
        <f t="shared" ref="B11:B42" si="1">IF(H11=INT(H11),"I","II")</f>
        <v>I</v>
      </c>
      <c r="C11" s="19">
        <f t="shared" ref="C11:C42" si="2">1*G11</f>
        <v>39791.402999999998</v>
      </c>
      <c r="D11" s="26" t="str">
        <f t="shared" ref="D11:D42" si="3">VLOOKUP(F11,I$1:J$5,2,FALSE)</f>
        <v>vis</v>
      </c>
      <c r="E11" s="63">
        <f>VLOOKUP(C11,Active!C$21:E$973,3,FALSE)</f>
        <v>4841.0146443922931</v>
      </c>
      <c r="F11" s="6" t="s">
        <v>77</v>
      </c>
      <c r="G11" s="26" t="str">
        <f t="shared" ref="G11:G42" si="4">MID(I11,3,LEN(I11)-3)</f>
        <v>39791.403</v>
      </c>
      <c r="H11" s="19">
        <f t="shared" ref="H11:H42" si="5">1*K11</f>
        <v>4841</v>
      </c>
      <c r="I11" s="64" t="s">
        <v>109</v>
      </c>
      <c r="J11" s="65" t="s">
        <v>110</v>
      </c>
      <c r="K11" s="64">
        <v>4841</v>
      </c>
      <c r="L11" s="64" t="s">
        <v>111</v>
      </c>
      <c r="M11" s="65" t="s">
        <v>112</v>
      </c>
      <c r="N11" s="65"/>
      <c r="O11" s="66" t="s">
        <v>113</v>
      </c>
      <c r="P11" s="67" t="s">
        <v>114</v>
      </c>
    </row>
    <row r="12" spans="1:16" ht="12.75" customHeight="1" thickBot="1">
      <c r="A12" s="19" t="str">
        <f t="shared" si="0"/>
        <v>OEJV 0060 </v>
      </c>
      <c r="B12" s="6" t="str">
        <f t="shared" si="1"/>
        <v>I</v>
      </c>
      <c r="C12" s="19">
        <f t="shared" si="2"/>
        <v>49630.546999999999</v>
      </c>
      <c r="D12" s="26" t="str">
        <f t="shared" si="3"/>
        <v>vis</v>
      </c>
      <c r="E12" s="63">
        <f>VLOOKUP(C12,Active!C$21:E$973,3,FALSE)</f>
        <v>9468.0826099422811</v>
      </c>
      <c r="F12" s="6" t="s">
        <v>77</v>
      </c>
      <c r="G12" s="26" t="str">
        <f t="shared" si="4"/>
        <v>49630.547</v>
      </c>
      <c r="H12" s="19">
        <f t="shared" si="5"/>
        <v>9468</v>
      </c>
      <c r="I12" s="64" t="s">
        <v>206</v>
      </c>
      <c r="J12" s="65" t="s">
        <v>207</v>
      </c>
      <c r="K12" s="64">
        <v>9468</v>
      </c>
      <c r="L12" s="64" t="s">
        <v>208</v>
      </c>
      <c r="M12" s="65" t="s">
        <v>112</v>
      </c>
      <c r="N12" s="65"/>
      <c r="O12" s="66" t="s">
        <v>209</v>
      </c>
      <c r="P12" s="67" t="s">
        <v>210</v>
      </c>
    </row>
    <row r="13" spans="1:16" ht="12.75" customHeight="1" thickBot="1">
      <c r="A13" s="19" t="str">
        <f t="shared" si="0"/>
        <v> JAAVSO 41;122 </v>
      </c>
      <c r="B13" s="6" t="str">
        <f t="shared" si="1"/>
        <v>I</v>
      </c>
      <c r="C13" s="19">
        <f t="shared" si="2"/>
        <v>50717.169000000002</v>
      </c>
      <c r="D13" s="26" t="str">
        <f t="shared" si="3"/>
        <v>vis</v>
      </c>
      <c r="E13" s="63">
        <f>VLOOKUP(C13,Active!C$21:E$973,3,FALSE)</f>
        <v>9979.0898527331046</v>
      </c>
      <c r="F13" s="6" t="s">
        <v>77</v>
      </c>
      <c r="G13" s="26" t="str">
        <f t="shared" si="4"/>
        <v>50717.169</v>
      </c>
      <c r="H13" s="19">
        <f t="shared" si="5"/>
        <v>9979</v>
      </c>
      <c r="I13" s="64" t="s">
        <v>220</v>
      </c>
      <c r="J13" s="65" t="s">
        <v>221</v>
      </c>
      <c r="K13" s="64">
        <v>9979</v>
      </c>
      <c r="L13" s="64" t="s">
        <v>222</v>
      </c>
      <c r="M13" s="65" t="s">
        <v>112</v>
      </c>
      <c r="N13" s="65"/>
      <c r="O13" s="66" t="s">
        <v>223</v>
      </c>
      <c r="P13" s="66" t="s">
        <v>224</v>
      </c>
    </row>
    <row r="14" spans="1:16" ht="12.75" customHeight="1" thickBot="1">
      <c r="A14" s="19" t="str">
        <f t="shared" si="0"/>
        <v> BBS 116 </v>
      </c>
      <c r="B14" s="6" t="str">
        <f t="shared" si="1"/>
        <v>I</v>
      </c>
      <c r="C14" s="19">
        <f t="shared" si="2"/>
        <v>50753.321000000004</v>
      </c>
      <c r="D14" s="26" t="str">
        <f t="shared" si="3"/>
        <v>vis</v>
      </c>
      <c r="E14" s="63">
        <f>VLOOKUP(C14,Active!C$21:E$973,3,FALSE)</f>
        <v>9996.091104172312</v>
      </c>
      <c r="F14" s="6" t="s">
        <v>77</v>
      </c>
      <c r="G14" s="26" t="str">
        <f t="shared" si="4"/>
        <v>50753.321</v>
      </c>
      <c r="H14" s="19">
        <f t="shared" si="5"/>
        <v>9996</v>
      </c>
      <c r="I14" s="64" t="s">
        <v>225</v>
      </c>
      <c r="J14" s="65" t="s">
        <v>226</v>
      </c>
      <c r="K14" s="64">
        <v>9996</v>
      </c>
      <c r="L14" s="64" t="s">
        <v>227</v>
      </c>
      <c r="M14" s="65" t="s">
        <v>112</v>
      </c>
      <c r="N14" s="65"/>
      <c r="O14" s="66" t="s">
        <v>228</v>
      </c>
      <c r="P14" s="66" t="s">
        <v>229</v>
      </c>
    </row>
    <row r="15" spans="1:16" ht="12.75" customHeight="1" thickBot="1">
      <c r="A15" s="19" t="str">
        <f t="shared" si="0"/>
        <v> BBS 116 </v>
      </c>
      <c r="B15" s="6" t="str">
        <f t="shared" si="1"/>
        <v>I</v>
      </c>
      <c r="C15" s="19">
        <f t="shared" si="2"/>
        <v>50753.325499999999</v>
      </c>
      <c r="D15" s="26" t="str">
        <f t="shared" si="3"/>
        <v>vis</v>
      </c>
      <c r="E15" s="63">
        <f>VLOOKUP(C15,Active!C$21:E$973,3,FALSE)</f>
        <v>9996.0932203935827</v>
      </c>
      <c r="F15" s="6" t="s">
        <v>77</v>
      </c>
      <c r="G15" s="26" t="str">
        <f t="shared" si="4"/>
        <v>50753.3255</v>
      </c>
      <c r="H15" s="19">
        <f t="shared" si="5"/>
        <v>9996</v>
      </c>
      <c r="I15" s="64" t="s">
        <v>230</v>
      </c>
      <c r="J15" s="65" t="s">
        <v>231</v>
      </c>
      <c r="K15" s="64">
        <v>9996</v>
      </c>
      <c r="L15" s="64" t="s">
        <v>232</v>
      </c>
      <c r="M15" s="65" t="s">
        <v>233</v>
      </c>
      <c r="N15" s="65" t="s">
        <v>234</v>
      </c>
      <c r="O15" s="66" t="s">
        <v>235</v>
      </c>
      <c r="P15" s="66" t="s">
        <v>229</v>
      </c>
    </row>
    <row r="16" spans="1:16" ht="12.75" customHeight="1" thickBot="1">
      <c r="A16" s="19" t="str">
        <f t="shared" si="0"/>
        <v>BAVM 158 </v>
      </c>
      <c r="B16" s="6" t="str">
        <f t="shared" si="1"/>
        <v>I</v>
      </c>
      <c r="C16" s="19">
        <f t="shared" si="2"/>
        <v>52505.530200000001</v>
      </c>
      <c r="D16" s="26" t="str">
        <f t="shared" si="3"/>
        <v>vis</v>
      </c>
      <c r="E16" s="63">
        <f>VLOOKUP(C16,Active!C$21:E$973,3,FALSE)</f>
        <v>10820.104967396792</v>
      </c>
      <c r="F16" s="6" t="s">
        <v>77</v>
      </c>
      <c r="G16" s="26" t="str">
        <f t="shared" si="4"/>
        <v>52505.5302</v>
      </c>
      <c r="H16" s="19">
        <f t="shared" si="5"/>
        <v>10820</v>
      </c>
      <c r="I16" s="64" t="s">
        <v>241</v>
      </c>
      <c r="J16" s="65" t="s">
        <v>242</v>
      </c>
      <c r="K16" s="64">
        <v>10820</v>
      </c>
      <c r="L16" s="64" t="s">
        <v>243</v>
      </c>
      <c r="M16" s="65" t="s">
        <v>233</v>
      </c>
      <c r="N16" s="65" t="s">
        <v>244</v>
      </c>
      <c r="O16" s="66" t="s">
        <v>245</v>
      </c>
      <c r="P16" s="67" t="s">
        <v>246</v>
      </c>
    </row>
    <row r="17" spans="1:16" ht="12.75" customHeight="1" thickBot="1">
      <c r="A17" s="19" t="str">
        <f t="shared" si="0"/>
        <v>IBVS 5746 </v>
      </c>
      <c r="B17" s="6" t="str">
        <f t="shared" si="1"/>
        <v>I</v>
      </c>
      <c r="C17" s="19">
        <f t="shared" si="2"/>
        <v>53998.317199999998</v>
      </c>
      <c r="D17" s="26" t="str">
        <f t="shared" si="3"/>
        <v>vis</v>
      </c>
      <c r="E17" s="63">
        <f>VLOOKUP(C17,Active!C$21:E$973,3,FALSE)</f>
        <v>11522.119990968908</v>
      </c>
      <c r="F17" s="6" t="s">
        <v>77</v>
      </c>
      <c r="G17" s="26" t="str">
        <f t="shared" si="4"/>
        <v>53998.3172</v>
      </c>
      <c r="H17" s="19">
        <f t="shared" si="5"/>
        <v>11522</v>
      </c>
      <c r="I17" s="64" t="s">
        <v>247</v>
      </c>
      <c r="J17" s="65" t="s">
        <v>248</v>
      </c>
      <c r="K17" s="64" t="s">
        <v>249</v>
      </c>
      <c r="L17" s="64" t="s">
        <v>250</v>
      </c>
      <c r="M17" s="65" t="s">
        <v>233</v>
      </c>
      <c r="N17" s="65" t="s">
        <v>234</v>
      </c>
      <c r="O17" s="66" t="s">
        <v>251</v>
      </c>
      <c r="P17" s="67" t="s">
        <v>252</v>
      </c>
    </row>
    <row r="18" spans="1:16" ht="12.75" customHeight="1" thickBot="1">
      <c r="A18" s="19" t="str">
        <f t="shared" si="0"/>
        <v>IBVS 5871 </v>
      </c>
      <c r="B18" s="6" t="str">
        <f t="shared" si="1"/>
        <v>I</v>
      </c>
      <c r="C18" s="19">
        <f t="shared" si="2"/>
        <v>54761.727099999996</v>
      </c>
      <c r="D18" s="26" t="str">
        <f t="shared" si="3"/>
        <v>vis</v>
      </c>
      <c r="E18" s="63">
        <f>VLOOKUP(C18,Active!C$21:E$973,3,FALSE)</f>
        <v>11881.12982890539</v>
      </c>
      <c r="F18" s="6" t="s">
        <v>77</v>
      </c>
      <c r="G18" s="26" t="str">
        <f t="shared" si="4"/>
        <v>54761.7271</v>
      </c>
      <c r="H18" s="19">
        <f t="shared" si="5"/>
        <v>11881</v>
      </c>
      <c r="I18" s="64" t="s">
        <v>264</v>
      </c>
      <c r="J18" s="65" t="s">
        <v>265</v>
      </c>
      <c r="K18" s="64" t="s">
        <v>266</v>
      </c>
      <c r="L18" s="64" t="s">
        <v>267</v>
      </c>
      <c r="M18" s="65" t="s">
        <v>257</v>
      </c>
      <c r="N18" s="65" t="s">
        <v>77</v>
      </c>
      <c r="O18" s="66" t="s">
        <v>239</v>
      </c>
      <c r="P18" s="67" t="s">
        <v>268</v>
      </c>
    </row>
    <row r="19" spans="1:16" ht="12.75" customHeight="1" thickBot="1">
      <c r="A19" s="19" t="str">
        <f t="shared" si="0"/>
        <v>BAVM 214 </v>
      </c>
      <c r="B19" s="6" t="str">
        <f t="shared" si="1"/>
        <v>I</v>
      </c>
      <c r="C19" s="19">
        <f t="shared" si="2"/>
        <v>54840.402999999998</v>
      </c>
      <c r="D19" s="26" t="str">
        <f t="shared" si="3"/>
        <v>vis</v>
      </c>
      <c r="E19" s="63">
        <f>VLOOKUP(C19,Active!C$21:E$973,3,FALSE)</f>
        <v>11918.128854079818</v>
      </c>
      <c r="F19" s="6" t="s">
        <v>77</v>
      </c>
      <c r="G19" s="26" t="str">
        <f t="shared" si="4"/>
        <v>54840.4030</v>
      </c>
      <c r="H19" s="19">
        <f t="shared" si="5"/>
        <v>11918</v>
      </c>
      <c r="I19" s="64" t="s">
        <v>269</v>
      </c>
      <c r="J19" s="65" t="s">
        <v>270</v>
      </c>
      <c r="K19" s="64" t="s">
        <v>271</v>
      </c>
      <c r="L19" s="64" t="s">
        <v>272</v>
      </c>
      <c r="M19" s="65" t="s">
        <v>257</v>
      </c>
      <c r="N19" s="65">
        <v>0</v>
      </c>
      <c r="O19" s="66" t="s">
        <v>273</v>
      </c>
      <c r="P19" s="67" t="s">
        <v>274</v>
      </c>
    </row>
    <row r="20" spans="1:16" ht="12.75" customHeight="1" thickBot="1">
      <c r="A20" s="19" t="str">
        <f t="shared" si="0"/>
        <v>BAVM 215 </v>
      </c>
      <c r="B20" s="6" t="str">
        <f t="shared" si="1"/>
        <v>I</v>
      </c>
      <c r="C20" s="19">
        <f t="shared" si="2"/>
        <v>55514.496400000004</v>
      </c>
      <c r="D20" s="26" t="str">
        <f t="shared" si="3"/>
        <v>vis</v>
      </c>
      <c r="E20" s="63">
        <f>VLOOKUP(C20,Active!C$21:E$973,3,FALSE)</f>
        <v>12235.135697045904</v>
      </c>
      <c r="F20" s="6" t="s">
        <v>77</v>
      </c>
      <c r="G20" s="26" t="str">
        <f t="shared" si="4"/>
        <v>55514.4964</v>
      </c>
      <c r="H20" s="19">
        <f t="shared" si="5"/>
        <v>12235</v>
      </c>
      <c r="I20" s="64" t="s">
        <v>280</v>
      </c>
      <c r="J20" s="65" t="s">
        <v>281</v>
      </c>
      <c r="K20" s="64">
        <v>12235</v>
      </c>
      <c r="L20" s="64" t="s">
        <v>282</v>
      </c>
      <c r="M20" s="65" t="s">
        <v>257</v>
      </c>
      <c r="N20" s="65">
        <v>0</v>
      </c>
      <c r="O20" s="66" t="s">
        <v>278</v>
      </c>
      <c r="P20" s="67" t="s">
        <v>283</v>
      </c>
    </row>
    <row r="21" spans="1:16" ht="12.75" customHeight="1" thickBot="1">
      <c r="A21" s="19" t="str">
        <f t="shared" si="0"/>
        <v>IBVS 6011 </v>
      </c>
      <c r="B21" s="6" t="str">
        <f t="shared" si="1"/>
        <v>I</v>
      </c>
      <c r="C21" s="19">
        <f t="shared" si="2"/>
        <v>55903.635199999997</v>
      </c>
      <c r="D21" s="26" t="str">
        <f t="shared" si="3"/>
        <v>vis</v>
      </c>
      <c r="E21" s="63">
        <f>VLOOKUP(C21,Active!C$21:E$973,3,FALSE)</f>
        <v>12418.136543017112</v>
      </c>
      <c r="F21" s="6" t="s">
        <v>77</v>
      </c>
      <c r="G21" s="26" t="str">
        <f t="shared" si="4"/>
        <v>55903.6352</v>
      </c>
      <c r="H21" s="19">
        <f t="shared" si="5"/>
        <v>12418</v>
      </c>
      <c r="I21" s="64" t="s">
        <v>284</v>
      </c>
      <c r="J21" s="65" t="s">
        <v>285</v>
      </c>
      <c r="K21" s="64">
        <v>12418</v>
      </c>
      <c r="L21" s="64" t="s">
        <v>286</v>
      </c>
      <c r="M21" s="65" t="s">
        <v>257</v>
      </c>
      <c r="N21" s="65" t="s">
        <v>77</v>
      </c>
      <c r="O21" s="66" t="s">
        <v>239</v>
      </c>
      <c r="P21" s="67" t="s">
        <v>287</v>
      </c>
    </row>
    <row r="22" spans="1:16" ht="12.75" customHeight="1" thickBot="1">
      <c r="A22" s="19" t="str">
        <f t="shared" si="0"/>
        <v>IBVS 6042 </v>
      </c>
      <c r="B22" s="6" t="str">
        <f t="shared" si="1"/>
        <v>I</v>
      </c>
      <c r="C22" s="19">
        <f t="shared" si="2"/>
        <v>56273.642699999997</v>
      </c>
      <c r="D22" s="26" t="str">
        <f t="shared" si="3"/>
        <v>vis</v>
      </c>
      <c r="E22" s="63">
        <f>VLOOKUP(C22,Active!C$21:E$973,3,FALSE)</f>
        <v>12592.140485866534</v>
      </c>
      <c r="F22" s="6" t="s">
        <v>77</v>
      </c>
      <c r="G22" s="26" t="str">
        <f t="shared" si="4"/>
        <v>56273.6427</v>
      </c>
      <c r="H22" s="19">
        <f t="shared" si="5"/>
        <v>12592</v>
      </c>
      <c r="I22" s="64" t="s">
        <v>288</v>
      </c>
      <c r="J22" s="65" t="s">
        <v>289</v>
      </c>
      <c r="K22" s="64">
        <v>12592</v>
      </c>
      <c r="L22" s="64" t="s">
        <v>290</v>
      </c>
      <c r="M22" s="65" t="s">
        <v>257</v>
      </c>
      <c r="N22" s="65" t="s">
        <v>77</v>
      </c>
      <c r="O22" s="66" t="s">
        <v>239</v>
      </c>
      <c r="P22" s="67" t="s">
        <v>291</v>
      </c>
    </row>
    <row r="23" spans="1:16" ht="12.75" customHeight="1" thickBot="1">
      <c r="A23" s="19" t="str">
        <f t="shared" si="0"/>
        <v>BAVM 234 </v>
      </c>
      <c r="B23" s="6" t="str">
        <f t="shared" si="1"/>
        <v>II</v>
      </c>
      <c r="C23" s="19">
        <f t="shared" si="2"/>
        <v>56540.513400000003</v>
      </c>
      <c r="D23" s="26" t="str">
        <f t="shared" si="3"/>
        <v>vis</v>
      </c>
      <c r="E23" s="63">
        <f>VLOOKUP(C23,Active!C$21:E$973,3,FALSE)</f>
        <v>12717.642141997792</v>
      </c>
      <c r="F23" s="6" t="s">
        <v>77</v>
      </c>
      <c r="G23" s="26" t="str">
        <f t="shared" si="4"/>
        <v>56540.5134</v>
      </c>
      <c r="H23" s="19">
        <f t="shared" si="5"/>
        <v>12717.5</v>
      </c>
      <c r="I23" s="64" t="s">
        <v>292</v>
      </c>
      <c r="J23" s="65" t="s">
        <v>293</v>
      </c>
      <c r="K23" s="64">
        <v>12717.5</v>
      </c>
      <c r="L23" s="64" t="s">
        <v>294</v>
      </c>
      <c r="M23" s="65" t="s">
        <v>257</v>
      </c>
      <c r="N23" s="65">
        <v>0</v>
      </c>
      <c r="O23" s="66" t="s">
        <v>278</v>
      </c>
      <c r="P23" s="67" t="s">
        <v>295</v>
      </c>
    </row>
    <row r="24" spans="1:16" ht="12.75" customHeight="1" thickBot="1">
      <c r="A24" s="19" t="str">
        <f t="shared" si="0"/>
        <v> AC 22.8 </v>
      </c>
      <c r="B24" s="6" t="str">
        <f t="shared" si="1"/>
        <v>I</v>
      </c>
      <c r="C24" s="19">
        <f t="shared" si="2"/>
        <v>25999.26</v>
      </c>
      <c r="D24" s="26" t="str">
        <f t="shared" si="3"/>
        <v>vis</v>
      </c>
      <c r="E24" s="63">
        <f>VLOOKUP(C24,Active!C$21:E$973,3,FALSE)</f>
        <v>-1645.035671731192</v>
      </c>
      <c r="F24" s="6" t="s">
        <v>77</v>
      </c>
      <c r="G24" s="26" t="str">
        <f t="shared" si="4"/>
        <v>25999.26</v>
      </c>
      <c r="H24" s="19">
        <f t="shared" si="5"/>
        <v>-1645</v>
      </c>
      <c r="I24" s="64" t="s">
        <v>80</v>
      </c>
      <c r="J24" s="65" t="s">
        <v>81</v>
      </c>
      <c r="K24" s="64">
        <v>-1645</v>
      </c>
      <c r="L24" s="64" t="s">
        <v>82</v>
      </c>
      <c r="M24" s="65" t="s">
        <v>83</v>
      </c>
      <c r="N24" s="65"/>
      <c r="O24" s="66" t="s">
        <v>84</v>
      </c>
      <c r="P24" s="66" t="s">
        <v>85</v>
      </c>
    </row>
    <row r="25" spans="1:16" ht="12.75" customHeight="1" thickBot="1">
      <c r="A25" s="19" t="str">
        <f t="shared" si="0"/>
        <v> AN 268.275 </v>
      </c>
      <c r="B25" s="6" t="str">
        <f t="shared" si="1"/>
        <v>I</v>
      </c>
      <c r="C25" s="19">
        <f t="shared" si="2"/>
        <v>28521.280999999999</v>
      </c>
      <c r="D25" s="26" t="str">
        <f t="shared" si="3"/>
        <v>vis</v>
      </c>
      <c r="E25" s="63">
        <f>VLOOKUP(C25,Active!C$21:E$973,3,FALSE)</f>
        <v>-459.0013401323917</v>
      </c>
      <c r="F25" s="6" t="s">
        <v>77</v>
      </c>
      <c r="G25" s="26" t="str">
        <f t="shared" si="4"/>
        <v>28521.281</v>
      </c>
      <c r="H25" s="19">
        <f t="shared" si="5"/>
        <v>-459</v>
      </c>
      <c r="I25" s="64" t="s">
        <v>86</v>
      </c>
      <c r="J25" s="65" t="s">
        <v>87</v>
      </c>
      <c r="K25" s="64">
        <v>-459</v>
      </c>
      <c r="L25" s="64" t="s">
        <v>78</v>
      </c>
      <c r="M25" s="65" t="s">
        <v>83</v>
      </c>
      <c r="N25" s="65"/>
      <c r="O25" s="66" t="s">
        <v>88</v>
      </c>
      <c r="P25" s="66" t="s">
        <v>89</v>
      </c>
    </row>
    <row r="26" spans="1:16" ht="12.75" customHeight="1" thickBot="1">
      <c r="A26" s="19" t="str">
        <f t="shared" si="0"/>
        <v> AN 268.275 </v>
      </c>
      <c r="B26" s="6" t="str">
        <f t="shared" si="1"/>
        <v>I</v>
      </c>
      <c r="C26" s="19">
        <f t="shared" si="2"/>
        <v>29165.594000000001</v>
      </c>
      <c r="D26" s="26" t="str">
        <f t="shared" si="3"/>
        <v>vis</v>
      </c>
      <c r="E26" s="63">
        <f>VLOOKUP(C26,Active!C$21:E$973,3,FALSE)</f>
        <v>-155.9993673909197</v>
      </c>
      <c r="F26" s="6" t="s">
        <v>77</v>
      </c>
      <c r="G26" s="26" t="str">
        <f t="shared" si="4"/>
        <v>29165.594</v>
      </c>
      <c r="H26" s="19">
        <f t="shared" si="5"/>
        <v>-156</v>
      </c>
      <c r="I26" s="64" t="s">
        <v>90</v>
      </c>
      <c r="J26" s="65" t="s">
        <v>91</v>
      </c>
      <c r="K26" s="64">
        <v>-156</v>
      </c>
      <c r="L26" s="64" t="s">
        <v>92</v>
      </c>
      <c r="M26" s="65" t="s">
        <v>83</v>
      </c>
      <c r="N26" s="65"/>
      <c r="O26" s="66" t="s">
        <v>88</v>
      </c>
      <c r="P26" s="66" t="s">
        <v>89</v>
      </c>
    </row>
    <row r="27" spans="1:16" ht="12.75" customHeight="1" thickBot="1">
      <c r="A27" s="19" t="str">
        <f t="shared" si="0"/>
        <v> AJ 62.372 </v>
      </c>
      <c r="B27" s="6" t="str">
        <f t="shared" si="1"/>
        <v>I</v>
      </c>
      <c r="C27" s="19">
        <f t="shared" si="2"/>
        <v>35708.623</v>
      </c>
      <c r="D27" s="26" t="str">
        <f t="shared" si="3"/>
        <v>vis</v>
      </c>
      <c r="E27" s="63">
        <f>VLOOKUP(C27,Active!C$21:E$973,3,FALSE)</f>
        <v>2921.0000020221673</v>
      </c>
      <c r="F27" s="6" t="s">
        <v>77</v>
      </c>
      <c r="G27" s="26" t="str">
        <f t="shared" si="4"/>
        <v>35708.623</v>
      </c>
      <c r="H27" s="19">
        <f t="shared" si="5"/>
        <v>2921</v>
      </c>
      <c r="I27" s="64" t="s">
        <v>93</v>
      </c>
      <c r="J27" s="65" t="s">
        <v>94</v>
      </c>
      <c r="K27" s="64">
        <v>2921</v>
      </c>
      <c r="L27" s="64" t="s">
        <v>95</v>
      </c>
      <c r="M27" s="65" t="s">
        <v>79</v>
      </c>
      <c r="N27" s="65"/>
      <c r="O27" s="66" t="s">
        <v>96</v>
      </c>
      <c r="P27" s="66" t="s">
        <v>97</v>
      </c>
    </row>
    <row r="28" spans="1:16" ht="12.75" customHeight="1" thickBot="1">
      <c r="A28" s="19" t="str">
        <f t="shared" si="0"/>
        <v> AJ 62.372 </v>
      </c>
      <c r="B28" s="6" t="str">
        <f t="shared" si="1"/>
        <v>I</v>
      </c>
      <c r="C28" s="19">
        <f t="shared" si="2"/>
        <v>35712.875</v>
      </c>
      <c r="D28" s="26" t="str">
        <f t="shared" si="3"/>
        <v>vis</v>
      </c>
      <c r="E28" s="63">
        <f>VLOOKUP(C28,Active!C$21:E$973,3,FALSE)</f>
        <v>2922.9995959898461</v>
      </c>
      <c r="F28" s="6" t="s">
        <v>77</v>
      </c>
      <c r="G28" s="26" t="str">
        <f t="shared" si="4"/>
        <v>35712.875</v>
      </c>
      <c r="H28" s="19">
        <f t="shared" si="5"/>
        <v>2923</v>
      </c>
      <c r="I28" s="64" t="s">
        <v>98</v>
      </c>
      <c r="J28" s="65" t="s">
        <v>99</v>
      </c>
      <c r="K28" s="64">
        <v>2923</v>
      </c>
      <c r="L28" s="64" t="s">
        <v>100</v>
      </c>
      <c r="M28" s="65" t="s">
        <v>79</v>
      </c>
      <c r="N28" s="65"/>
      <c r="O28" s="66" t="s">
        <v>96</v>
      </c>
      <c r="P28" s="66" t="s">
        <v>97</v>
      </c>
    </row>
    <row r="29" spans="1:16" ht="12.75" customHeight="1" thickBot="1">
      <c r="A29" s="19" t="str">
        <f t="shared" si="0"/>
        <v> AJ 62.372 </v>
      </c>
      <c r="B29" s="6" t="str">
        <f t="shared" si="1"/>
        <v>I</v>
      </c>
      <c r="C29" s="19">
        <f t="shared" si="2"/>
        <v>35725.633999999998</v>
      </c>
      <c r="D29" s="26" t="str">
        <f t="shared" si="3"/>
        <v>vis</v>
      </c>
      <c r="E29" s="63">
        <f>VLOOKUP(C29,Active!C$21:E$973,3,FALSE)</f>
        <v>2928.9997887070626</v>
      </c>
      <c r="F29" s="6" t="s">
        <v>77</v>
      </c>
      <c r="G29" s="26" t="str">
        <f t="shared" si="4"/>
        <v>35725.634</v>
      </c>
      <c r="H29" s="19">
        <f t="shared" si="5"/>
        <v>2929</v>
      </c>
      <c r="I29" s="64" t="s">
        <v>101</v>
      </c>
      <c r="J29" s="65" t="s">
        <v>102</v>
      </c>
      <c r="K29" s="64">
        <v>2929</v>
      </c>
      <c r="L29" s="64" t="s">
        <v>103</v>
      </c>
      <c r="M29" s="65" t="s">
        <v>79</v>
      </c>
      <c r="N29" s="65"/>
      <c r="O29" s="66" t="s">
        <v>96</v>
      </c>
      <c r="P29" s="66" t="s">
        <v>97</v>
      </c>
    </row>
    <row r="30" spans="1:16" ht="12.75" customHeight="1" thickBot="1">
      <c r="A30" s="19" t="str">
        <f t="shared" si="0"/>
        <v> HABZ 87 </v>
      </c>
      <c r="B30" s="6" t="str">
        <f t="shared" si="1"/>
        <v>I</v>
      </c>
      <c r="C30" s="19">
        <f t="shared" si="2"/>
        <v>39436.315999999999</v>
      </c>
      <c r="D30" s="26" t="str">
        <f t="shared" si="3"/>
        <v>vis</v>
      </c>
      <c r="E30" s="63">
        <f>VLOOKUP(C30,Active!C$21:E$973,3,FALSE)</f>
        <v>4674.0273858784176</v>
      </c>
      <c r="F30" s="6" t="s">
        <v>77</v>
      </c>
      <c r="G30" s="26" t="str">
        <f t="shared" si="4"/>
        <v>39436.316</v>
      </c>
      <c r="H30" s="19">
        <f t="shared" si="5"/>
        <v>4674</v>
      </c>
      <c r="I30" s="64" t="s">
        <v>104</v>
      </c>
      <c r="J30" s="65" t="s">
        <v>105</v>
      </c>
      <c r="K30" s="64">
        <v>4674</v>
      </c>
      <c r="L30" s="64" t="s">
        <v>106</v>
      </c>
      <c r="M30" s="65" t="s">
        <v>83</v>
      </c>
      <c r="N30" s="65"/>
      <c r="O30" s="66" t="s">
        <v>107</v>
      </c>
      <c r="P30" s="66" t="s">
        <v>108</v>
      </c>
    </row>
    <row r="31" spans="1:16" ht="12.75" customHeight="1" thickBot="1">
      <c r="A31" s="19" t="str">
        <f t="shared" si="0"/>
        <v> BRNO 26 </v>
      </c>
      <c r="B31" s="6" t="str">
        <f t="shared" si="1"/>
        <v>I</v>
      </c>
      <c r="C31" s="19">
        <f t="shared" si="2"/>
        <v>44837.487000000001</v>
      </c>
      <c r="D31" s="26" t="str">
        <f t="shared" si="3"/>
        <v>vis</v>
      </c>
      <c r="E31" s="63">
        <f>VLOOKUP(C31,Active!C$21:E$973,3,FALSE)</f>
        <v>7214.0436017766306</v>
      </c>
      <c r="F31" s="6" t="s">
        <v>77</v>
      </c>
      <c r="G31" s="26" t="str">
        <f t="shared" si="4"/>
        <v>44837.487</v>
      </c>
      <c r="H31" s="19">
        <f t="shared" si="5"/>
        <v>7214</v>
      </c>
      <c r="I31" s="64" t="s">
        <v>115</v>
      </c>
      <c r="J31" s="65" t="s">
        <v>116</v>
      </c>
      <c r="K31" s="64">
        <v>7214</v>
      </c>
      <c r="L31" s="64" t="s">
        <v>117</v>
      </c>
      <c r="M31" s="65" t="s">
        <v>112</v>
      </c>
      <c r="N31" s="65"/>
      <c r="O31" s="66" t="s">
        <v>118</v>
      </c>
      <c r="P31" s="66" t="s">
        <v>119</v>
      </c>
    </row>
    <row r="32" spans="1:16" ht="12.75" customHeight="1" thickBot="1">
      <c r="A32" s="19" t="str">
        <f t="shared" si="0"/>
        <v> BRNO 26 </v>
      </c>
      <c r="B32" s="6" t="str">
        <f t="shared" si="1"/>
        <v>I</v>
      </c>
      <c r="C32" s="19">
        <f t="shared" si="2"/>
        <v>44852.360999999997</v>
      </c>
      <c r="D32" s="26" t="str">
        <f t="shared" si="3"/>
        <v>vis</v>
      </c>
      <c r="E32" s="63">
        <f>VLOOKUP(C32,Active!C$21:E$973,3,FALSE)</f>
        <v>7221.0384184923496</v>
      </c>
      <c r="F32" s="6" t="s">
        <v>77</v>
      </c>
      <c r="G32" s="26" t="str">
        <f t="shared" si="4"/>
        <v>44852.361</v>
      </c>
      <c r="H32" s="19">
        <f t="shared" si="5"/>
        <v>7221</v>
      </c>
      <c r="I32" s="64" t="s">
        <v>120</v>
      </c>
      <c r="J32" s="65" t="s">
        <v>121</v>
      </c>
      <c r="K32" s="64">
        <v>7221</v>
      </c>
      <c r="L32" s="64" t="s">
        <v>122</v>
      </c>
      <c r="M32" s="65" t="s">
        <v>112</v>
      </c>
      <c r="N32" s="65"/>
      <c r="O32" s="66" t="s">
        <v>123</v>
      </c>
      <c r="P32" s="66" t="s">
        <v>119</v>
      </c>
    </row>
    <row r="33" spans="1:16" ht="12.75" customHeight="1" thickBot="1">
      <c r="A33" s="19" t="str">
        <f t="shared" si="0"/>
        <v> BRNO 26 </v>
      </c>
      <c r="B33" s="6" t="str">
        <f t="shared" si="1"/>
        <v>I</v>
      </c>
      <c r="C33" s="19">
        <f t="shared" si="2"/>
        <v>44854.49</v>
      </c>
      <c r="D33" s="26" t="str">
        <f t="shared" si="3"/>
        <v>vis</v>
      </c>
      <c r="E33" s="63">
        <f>VLOOKUP(C33,Active!C$21:E$973,3,FALSE)</f>
        <v>7222.0396262903714</v>
      </c>
      <c r="F33" s="6" t="s">
        <v>77</v>
      </c>
      <c r="G33" s="26" t="str">
        <f t="shared" si="4"/>
        <v>44854.490</v>
      </c>
      <c r="H33" s="19">
        <f t="shared" si="5"/>
        <v>7222</v>
      </c>
      <c r="I33" s="64" t="s">
        <v>124</v>
      </c>
      <c r="J33" s="65" t="s">
        <v>125</v>
      </c>
      <c r="K33" s="64">
        <v>7222</v>
      </c>
      <c r="L33" s="64" t="s">
        <v>126</v>
      </c>
      <c r="M33" s="65" t="s">
        <v>112</v>
      </c>
      <c r="N33" s="65"/>
      <c r="O33" s="66" t="s">
        <v>118</v>
      </c>
      <c r="P33" s="66" t="s">
        <v>119</v>
      </c>
    </row>
    <row r="34" spans="1:16" ht="12.75" customHeight="1" thickBot="1">
      <c r="A34" s="19" t="str">
        <f t="shared" si="0"/>
        <v> BRNO 26 </v>
      </c>
      <c r="B34" s="6" t="str">
        <f t="shared" si="1"/>
        <v>I</v>
      </c>
      <c r="C34" s="19">
        <f t="shared" si="2"/>
        <v>44854.5</v>
      </c>
      <c r="D34" s="26" t="str">
        <f t="shared" si="3"/>
        <v>vis</v>
      </c>
      <c r="E34" s="63">
        <f>VLOOKUP(C34,Active!C$21:E$973,3,FALSE)</f>
        <v>7222.0443290043131</v>
      </c>
      <c r="F34" s="6" t="s">
        <v>77</v>
      </c>
      <c r="G34" s="26" t="str">
        <f t="shared" si="4"/>
        <v>44854.500</v>
      </c>
      <c r="H34" s="19">
        <f t="shared" si="5"/>
        <v>7222</v>
      </c>
      <c r="I34" s="64" t="s">
        <v>127</v>
      </c>
      <c r="J34" s="65" t="s">
        <v>128</v>
      </c>
      <c r="K34" s="64">
        <v>7222</v>
      </c>
      <c r="L34" s="64" t="s">
        <v>129</v>
      </c>
      <c r="M34" s="65" t="s">
        <v>112</v>
      </c>
      <c r="N34" s="65"/>
      <c r="O34" s="66" t="s">
        <v>123</v>
      </c>
      <c r="P34" s="66" t="s">
        <v>119</v>
      </c>
    </row>
    <row r="35" spans="1:16" ht="12.75" customHeight="1" thickBot="1">
      <c r="A35" s="19" t="str">
        <f t="shared" si="0"/>
        <v> BRNO 26 </v>
      </c>
      <c r="B35" s="6" t="str">
        <f t="shared" si="1"/>
        <v>I</v>
      </c>
      <c r="C35" s="19">
        <f t="shared" si="2"/>
        <v>45609.396999999997</v>
      </c>
      <c r="D35" s="26" t="str">
        <f t="shared" si="3"/>
        <v>vis</v>
      </c>
      <c r="E35" s="63">
        <f>VLOOKUP(C35,Active!C$21:E$973,3,FALSE)</f>
        <v>7577.0507935900314</v>
      </c>
      <c r="F35" s="6" t="s">
        <v>77</v>
      </c>
      <c r="G35" s="26" t="str">
        <f t="shared" si="4"/>
        <v>45609.397</v>
      </c>
      <c r="H35" s="19">
        <f t="shared" si="5"/>
        <v>7577</v>
      </c>
      <c r="I35" s="64" t="s">
        <v>130</v>
      </c>
      <c r="J35" s="65" t="s">
        <v>131</v>
      </c>
      <c r="K35" s="64">
        <v>7577</v>
      </c>
      <c r="L35" s="64" t="s">
        <v>132</v>
      </c>
      <c r="M35" s="65" t="s">
        <v>112</v>
      </c>
      <c r="N35" s="65"/>
      <c r="O35" s="66" t="s">
        <v>133</v>
      </c>
      <c r="P35" s="66" t="s">
        <v>119</v>
      </c>
    </row>
    <row r="36" spans="1:16" ht="12.75" customHeight="1" thickBot="1">
      <c r="A36" s="19" t="str">
        <f t="shared" si="0"/>
        <v> BRNO 26 </v>
      </c>
      <c r="B36" s="6" t="str">
        <f t="shared" si="1"/>
        <v>I</v>
      </c>
      <c r="C36" s="19">
        <f t="shared" si="2"/>
        <v>45609.402999999998</v>
      </c>
      <c r="D36" s="26" t="str">
        <f t="shared" si="3"/>
        <v>vis</v>
      </c>
      <c r="E36" s="63">
        <f>VLOOKUP(C36,Active!C$21:E$973,3,FALSE)</f>
        <v>7577.0536152183959</v>
      </c>
      <c r="F36" s="6" t="s">
        <v>77</v>
      </c>
      <c r="G36" s="26" t="str">
        <f t="shared" si="4"/>
        <v>45609.403</v>
      </c>
      <c r="H36" s="19">
        <f t="shared" si="5"/>
        <v>7577</v>
      </c>
      <c r="I36" s="64" t="s">
        <v>134</v>
      </c>
      <c r="J36" s="65" t="s">
        <v>135</v>
      </c>
      <c r="K36" s="64">
        <v>7577</v>
      </c>
      <c r="L36" s="64" t="s">
        <v>136</v>
      </c>
      <c r="M36" s="65" t="s">
        <v>112</v>
      </c>
      <c r="N36" s="65"/>
      <c r="O36" s="66" t="s">
        <v>123</v>
      </c>
      <c r="P36" s="66" t="s">
        <v>119</v>
      </c>
    </row>
    <row r="37" spans="1:16" ht="12.75" customHeight="1" thickBot="1">
      <c r="A37" s="19" t="str">
        <f t="shared" si="0"/>
        <v> BRNO 27 </v>
      </c>
      <c r="B37" s="6" t="str">
        <f t="shared" si="1"/>
        <v>I</v>
      </c>
      <c r="C37" s="19">
        <f t="shared" si="2"/>
        <v>45913.47</v>
      </c>
      <c r="D37" s="26" t="str">
        <f t="shared" si="3"/>
        <v>vis</v>
      </c>
      <c r="E37" s="63">
        <f>VLOOKUP(C37,Active!C$21:E$973,3,FALSE)</f>
        <v>7720.0476272057094</v>
      </c>
      <c r="F37" s="6" t="s">
        <v>77</v>
      </c>
      <c r="G37" s="26" t="str">
        <f t="shared" si="4"/>
        <v>45913.470</v>
      </c>
      <c r="H37" s="19">
        <f t="shared" si="5"/>
        <v>7720</v>
      </c>
      <c r="I37" s="64" t="s">
        <v>137</v>
      </c>
      <c r="J37" s="65" t="s">
        <v>138</v>
      </c>
      <c r="K37" s="64">
        <v>7720</v>
      </c>
      <c r="L37" s="64" t="s">
        <v>139</v>
      </c>
      <c r="M37" s="65" t="s">
        <v>112</v>
      </c>
      <c r="N37" s="65"/>
      <c r="O37" s="66" t="s">
        <v>140</v>
      </c>
      <c r="P37" s="66" t="s">
        <v>141</v>
      </c>
    </row>
    <row r="38" spans="1:16" ht="12.75" customHeight="1" thickBot="1">
      <c r="A38" s="19" t="str">
        <f t="shared" si="0"/>
        <v> BRNO 27 </v>
      </c>
      <c r="B38" s="6" t="str">
        <f t="shared" si="1"/>
        <v>I</v>
      </c>
      <c r="C38" s="19">
        <f t="shared" si="2"/>
        <v>45913.476999999999</v>
      </c>
      <c r="D38" s="26" t="str">
        <f t="shared" si="3"/>
        <v>vis</v>
      </c>
      <c r="E38" s="63">
        <f>VLOOKUP(C38,Active!C$21:E$973,3,FALSE)</f>
        <v>7720.0509191054671</v>
      </c>
      <c r="F38" s="6" t="s">
        <v>77</v>
      </c>
      <c r="G38" s="26" t="str">
        <f t="shared" si="4"/>
        <v>45913.477</v>
      </c>
      <c r="H38" s="19">
        <f t="shared" si="5"/>
        <v>7720</v>
      </c>
      <c r="I38" s="64" t="s">
        <v>142</v>
      </c>
      <c r="J38" s="65" t="s">
        <v>143</v>
      </c>
      <c r="K38" s="64">
        <v>7720</v>
      </c>
      <c r="L38" s="64" t="s">
        <v>132</v>
      </c>
      <c r="M38" s="65" t="s">
        <v>112</v>
      </c>
      <c r="N38" s="65"/>
      <c r="O38" s="66" t="s">
        <v>133</v>
      </c>
      <c r="P38" s="66" t="s">
        <v>141</v>
      </c>
    </row>
    <row r="39" spans="1:16" ht="12.75" customHeight="1" thickBot="1">
      <c r="A39" s="19" t="str">
        <f t="shared" si="0"/>
        <v> BRNO 27 </v>
      </c>
      <c r="B39" s="6" t="str">
        <f t="shared" si="1"/>
        <v>I</v>
      </c>
      <c r="C39" s="19">
        <f t="shared" si="2"/>
        <v>45913.476999999999</v>
      </c>
      <c r="D39" s="26" t="str">
        <f t="shared" si="3"/>
        <v>vis</v>
      </c>
      <c r="E39" s="63">
        <f>VLOOKUP(C39,Active!C$21:E$973,3,FALSE)</f>
        <v>7720.0509191054671</v>
      </c>
      <c r="F39" s="6" t="s">
        <v>77</v>
      </c>
      <c r="G39" s="26" t="str">
        <f t="shared" si="4"/>
        <v>45913.477</v>
      </c>
      <c r="H39" s="19">
        <f t="shared" si="5"/>
        <v>7720</v>
      </c>
      <c r="I39" s="64" t="s">
        <v>142</v>
      </c>
      <c r="J39" s="65" t="s">
        <v>143</v>
      </c>
      <c r="K39" s="64">
        <v>7720</v>
      </c>
      <c r="L39" s="64" t="s">
        <v>132</v>
      </c>
      <c r="M39" s="65" t="s">
        <v>112</v>
      </c>
      <c r="N39" s="65"/>
      <c r="O39" s="66" t="s">
        <v>123</v>
      </c>
      <c r="P39" s="66" t="s">
        <v>141</v>
      </c>
    </row>
    <row r="40" spans="1:16" ht="12.75" customHeight="1" thickBot="1">
      <c r="A40" s="19" t="str">
        <f t="shared" si="0"/>
        <v> BRNO 27 </v>
      </c>
      <c r="B40" s="6" t="str">
        <f t="shared" si="1"/>
        <v>I</v>
      </c>
      <c r="C40" s="19">
        <f t="shared" si="2"/>
        <v>45913.482000000004</v>
      </c>
      <c r="D40" s="26" t="str">
        <f t="shared" si="3"/>
        <v>vis</v>
      </c>
      <c r="E40" s="63">
        <f>VLOOKUP(C40,Active!C$21:E$973,3,FALSE)</f>
        <v>7720.0532704624393</v>
      </c>
      <c r="F40" s="6" t="s">
        <v>77</v>
      </c>
      <c r="G40" s="26" t="str">
        <f t="shared" si="4"/>
        <v>45913.482</v>
      </c>
      <c r="H40" s="19">
        <f t="shared" si="5"/>
        <v>7720</v>
      </c>
      <c r="I40" s="64" t="s">
        <v>144</v>
      </c>
      <c r="J40" s="65" t="s">
        <v>145</v>
      </c>
      <c r="K40" s="64">
        <v>7720</v>
      </c>
      <c r="L40" s="64" t="s">
        <v>146</v>
      </c>
      <c r="M40" s="65" t="s">
        <v>112</v>
      </c>
      <c r="N40" s="65"/>
      <c r="O40" s="66" t="s">
        <v>147</v>
      </c>
      <c r="P40" s="66" t="s">
        <v>141</v>
      </c>
    </row>
    <row r="41" spans="1:16" ht="12.75" customHeight="1" thickBot="1">
      <c r="A41" s="19" t="str">
        <f t="shared" si="0"/>
        <v> BRNO 27 </v>
      </c>
      <c r="B41" s="6" t="str">
        <f t="shared" si="1"/>
        <v>I</v>
      </c>
      <c r="C41" s="19">
        <f t="shared" si="2"/>
        <v>46028.3</v>
      </c>
      <c r="D41" s="26" t="str">
        <f t="shared" si="3"/>
        <v>vis</v>
      </c>
      <c r="E41" s="63">
        <f>VLOOKUP(C41,Active!C$21:E$973,3,FALSE)</f>
        <v>7774.0488913892714</v>
      </c>
      <c r="F41" s="6" t="s">
        <v>77</v>
      </c>
      <c r="G41" s="26" t="str">
        <f t="shared" si="4"/>
        <v>46028.300</v>
      </c>
      <c r="H41" s="19">
        <f t="shared" si="5"/>
        <v>7774</v>
      </c>
      <c r="I41" s="64" t="s">
        <v>148</v>
      </c>
      <c r="J41" s="65" t="s">
        <v>149</v>
      </c>
      <c r="K41" s="64">
        <v>7774</v>
      </c>
      <c r="L41" s="64" t="s">
        <v>150</v>
      </c>
      <c r="M41" s="65" t="s">
        <v>112</v>
      </c>
      <c r="N41" s="65"/>
      <c r="O41" s="66" t="s">
        <v>151</v>
      </c>
      <c r="P41" s="66" t="s">
        <v>141</v>
      </c>
    </row>
    <row r="42" spans="1:16" ht="12.75" customHeight="1" thickBot="1">
      <c r="A42" s="19" t="str">
        <f t="shared" si="0"/>
        <v> BRNO 27 </v>
      </c>
      <c r="B42" s="6" t="str">
        <f t="shared" si="1"/>
        <v>I</v>
      </c>
      <c r="C42" s="19">
        <f t="shared" si="2"/>
        <v>46028.305999999997</v>
      </c>
      <c r="D42" s="26" t="str">
        <f t="shared" si="3"/>
        <v>vis</v>
      </c>
      <c r="E42" s="63">
        <f>VLOOKUP(C42,Active!C$21:E$973,3,FALSE)</f>
        <v>7774.0517130176331</v>
      </c>
      <c r="F42" s="6" t="s">
        <v>77</v>
      </c>
      <c r="G42" s="26" t="str">
        <f t="shared" si="4"/>
        <v>46028.306</v>
      </c>
      <c r="H42" s="19">
        <f t="shared" si="5"/>
        <v>7774</v>
      </c>
      <c r="I42" s="64" t="s">
        <v>152</v>
      </c>
      <c r="J42" s="65" t="s">
        <v>153</v>
      </c>
      <c r="K42" s="64">
        <v>7774</v>
      </c>
      <c r="L42" s="64" t="s">
        <v>154</v>
      </c>
      <c r="M42" s="65" t="s">
        <v>112</v>
      </c>
      <c r="N42" s="65"/>
      <c r="O42" s="66" t="s">
        <v>155</v>
      </c>
      <c r="P42" s="66" t="s">
        <v>141</v>
      </c>
    </row>
    <row r="43" spans="1:16" ht="12.75" customHeight="1" thickBot="1">
      <c r="A43" s="19" t="str">
        <f t="shared" ref="A43:A63" si="6">P43</f>
        <v> BRNO 28 </v>
      </c>
      <c r="B43" s="6" t="str">
        <f t="shared" ref="B43:B63" si="7">IF(H43=INT(H43),"I","II")</f>
        <v>I</v>
      </c>
      <c r="C43" s="19">
        <f t="shared" ref="C43:C63" si="8">1*G43</f>
        <v>46704.53</v>
      </c>
      <c r="D43" s="26" t="str">
        <f t="shared" ref="D43:D63" si="9">VLOOKUP(F43,I$1:J$5,2,FALSE)</f>
        <v>vis</v>
      </c>
      <c r="E43" s="63">
        <f>VLOOKUP(C43,Active!C$21:E$973,3,FALSE)</f>
        <v>8092.0605162159691</v>
      </c>
      <c r="F43" s="6" t="s">
        <v>77</v>
      </c>
      <c r="G43" s="26" t="str">
        <f t="shared" ref="G43:G63" si="10">MID(I43,3,LEN(I43)-3)</f>
        <v>46704.530</v>
      </c>
      <c r="H43" s="19">
        <f t="shared" ref="H43:H63" si="11">1*K43</f>
        <v>8092</v>
      </c>
      <c r="I43" s="64" t="s">
        <v>156</v>
      </c>
      <c r="J43" s="65" t="s">
        <v>157</v>
      </c>
      <c r="K43" s="64">
        <v>8092</v>
      </c>
      <c r="L43" s="64" t="s">
        <v>158</v>
      </c>
      <c r="M43" s="65" t="s">
        <v>112</v>
      </c>
      <c r="N43" s="65"/>
      <c r="O43" s="66" t="s">
        <v>133</v>
      </c>
      <c r="P43" s="66" t="s">
        <v>159</v>
      </c>
    </row>
    <row r="44" spans="1:16" ht="12.75" customHeight="1" thickBot="1">
      <c r="A44" s="19" t="str">
        <f t="shared" si="6"/>
        <v> BRNO 28 </v>
      </c>
      <c r="B44" s="6" t="str">
        <f t="shared" si="7"/>
        <v>I</v>
      </c>
      <c r="C44" s="19">
        <f t="shared" si="8"/>
        <v>46704.544000000002</v>
      </c>
      <c r="D44" s="26" t="str">
        <f t="shared" si="9"/>
        <v>vis</v>
      </c>
      <c r="E44" s="63">
        <f>VLOOKUP(C44,Active!C$21:E$973,3,FALSE)</f>
        <v>8092.067100015488</v>
      </c>
      <c r="F44" s="6" t="s">
        <v>77</v>
      </c>
      <c r="G44" s="26" t="str">
        <f t="shared" si="10"/>
        <v>46704.544</v>
      </c>
      <c r="H44" s="19">
        <f t="shared" si="11"/>
        <v>8092</v>
      </c>
      <c r="I44" s="64" t="s">
        <v>160</v>
      </c>
      <c r="J44" s="65" t="s">
        <v>161</v>
      </c>
      <c r="K44" s="64">
        <v>8092</v>
      </c>
      <c r="L44" s="64" t="s">
        <v>162</v>
      </c>
      <c r="M44" s="65" t="s">
        <v>112</v>
      </c>
      <c r="N44" s="65"/>
      <c r="O44" s="66" t="s">
        <v>123</v>
      </c>
      <c r="P44" s="66" t="s">
        <v>159</v>
      </c>
    </row>
    <row r="45" spans="1:16" ht="12.75" customHeight="1" thickBot="1">
      <c r="A45" s="19" t="str">
        <f t="shared" si="6"/>
        <v> BRNO 28 </v>
      </c>
      <c r="B45" s="6" t="str">
        <f t="shared" si="7"/>
        <v>I</v>
      </c>
      <c r="C45" s="19">
        <f t="shared" si="8"/>
        <v>46717.288999999997</v>
      </c>
      <c r="D45" s="26" t="str">
        <f t="shared" si="9"/>
        <v>vis</v>
      </c>
      <c r="E45" s="63">
        <f>VLOOKUP(C45,Active!C$21:E$973,3,FALSE)</f>
        <v>8098.0607089331852</v>
      </c>
      <c r="F45" s="6" t="s">
        <v>77</v>
      </c>
      <c r="G45" s="26" t="str">
        <f t="shared" si="10"/>
        <v>46717.289</v>
      </c>
      <c r="H45" s="19">
        <f t="shared" si="11"/>
        <v>8098</v>
      </c>
      <c r="I45" s="64" t="s">
        <v>163</v>
      </c>
      <c r="J45" s="65" t="s">
        <v>164</v>
      </c>
      <c r="K45" s="64">
        <v>8098</v>
      </c>
      <c r="L45" s="64" t="s">
        <v>158</v>
      </c>
      <c r="M45" s="65" t="s">
        <v>112</v>
      </c>
      <c r="N45" s="65"/>
      <c r="O45" s="66" t="s">
        <v>123</v>
      </c>
      <c r="P45" s="66" t="s">
        <v>159</v>
      </c>
    </row>
    <row r="46" spans="1:16" ht="12.75" customHeight="1" thickBot="1">
      <c r="A46" s="19" t="str">
        <f t="shared" si="6"/>
        <v> BRNO 30 </v>
      </c>
      <c r="B46" s="6" t="str">
        <f t="shared" si="7"/>
        <v>I</v>
      </c>
      <c r="C46" s="19">
        <f t="shared" si="8"/>
        <v>47006.476999999999</v>
      </c>
      <c r="D46" s="26" t="str">
        <f t="shared" si="9"/>
        <v>vis</v>
      </c>
      <c r="E46" s="63">
        <f>VLOOKUP(C46,Active!C$21:E$973,3,FALSE)</f>
        <v>8234.0575528478057</v>
      </c>
      <c r="F46" s="6" t="s">
        <v>77</v>
      </c>
      <c r="G46" s="26" t="str">
        <f t="shared" si="10"/>
        <v>47006.477</v>
      </c>
      <c r="H46" s="19">
        <f t="shared" si="11"/>
        <v>8234</v>
      </c>
      <c r="I46" s="64" t="s">
        <v>165</v>
      </c>
      <c r="J46" s="65" t="s">
        <v>166</v>
      </c>
      <c r="K46" s="64">
        <v>8234</v>
      </c>
      <c r="L46" s="64" t="s">
        <v>167</v>
      </c>
      <c r="M46" s="65" t="s">
        <v>112</v>
      </c>
      <c r="N46" s="65"/>
      <c r="O46" s="66" t="s">
        <v>168</v>
      </c>
      <c r="P46" s="66" t="s">
        <v>169</v>
      </c>
    </row>
    <row r="47" spans="1:16" ht="12.75" customHeight="1" thickBot="1">
      <c r="A47" s="19" t="str">
        <f t="shared" si="6"/>
        <v> BRNO 30 </v>
      </c>
      <c r="B47" s="6" t="str">
        <f t="shared" si="7"/>
        <v>I</v>
      </c>
      <c r="C47" s="19">
        <f t="shared" si="8"/>
        <v>47006.478999999999</v>
      </c>
      <c r="D47" s="26" t="str">
        <f t="shared" si="9"/>
        <v>vis</v>
      </c>
      <c r="E47" s="63">
        <f>VLOOKUP(C47,Active!C$21:E$973,3,FALSE)</f>
        <v>8234.0584933905939</v>
      </c>
      <c r="F47" s="6" t="s">
        <v>77</v>
      </c>
      <c r="G47" s="26" t="str">
        <f t="shared" si="10"/>
        <v>47006.479</v>
      </c>
      <c r="H47" s="19">
        <f t="shared" si="11"/>
        <v>8234</v>
      </c>
      <c r="I47" s="64" t="s">
        <v>170</v>
      </c>
      <c r="J47" s="65" t="s">
        <v>171</v>
      </c>
      <c r="K47" s="64">
        <v>8234</v>
      </c>
      <c r="L47" s="64" t="s">
        <v>172</v>
      </c>
      <c r="M47" s="65" t="s">
        <v>112</v>
      </c>
      <c r="N47" s="65"/>
      <c r="O47" s="66" t="s">
        <v>173</v>
      </c>
      <c r="P47" s="66" t="s">
        <v>169</v>
      </c>
    </row>
    <row r="48" spans="1:16" ht="12.75" customHeight="1" thickBot="1">
      <c r="A48" s="19" t="str">
        <f t="shared" si="6"/>
        <v> BRNO 30 </v>
      </c>
      <c r="B48" s="6" t="str">
        <f t="shared" si="7"/>
        <v>I</v>
      </c>
      <c r="C48" s="19">
        <f t="shared" si="8"/>
        <v>47006.48</v>
      </c>
      <c r="D48" s="26" t="str">
        <f t="shared" si="9"/>
        <v>vis</v>
      </c>
      <c r="E48" s="63">
        <f>VLOOKUP(C48,Active!C$21:E$973,3,FALSE)</f>
        <v>8234.0589636619898</v>
      </c>
      <c r="F48" s="6" t="s">
        <v>77</v>
      </c>
      <c r="G48" s="26" t="str">
        <f t="shared" si="10"/>
        <v>47006.480</v>
      </c>
      <c r="H48" s="19">
        <f t="shared" si="11"/>
        <v>8234</v>
      </c>
      <c r="I48" s="64" t="s">
        <v>174</v>
      </c>
      <c r="J48" s="65" t="s">
        <v>175</v>
      </c>
      <c r="K48" s="64">
        <v>8234</v>
      </c>
      <c r="L48" s="64" t="s">
        <v>176</v>
      </c>
      <c r="M48" s="65" t="s">
        <v>112</v>
      </c>
      <c r="N48" s="65"/>
      <c r="O48" s="66" t="s">
        <v>177</v>
      </c>
      <c r="P48" s="66" t="s">
        <v>169</v>
      </c>
    </row>
    <row r="49" spans="1:16" ht="12.75" customHeight="1" thickBot="1">
      <c r="A49" s="19" t="str">
        <f t="shared" si="6"/>
        <v> BRNO 30 </v>
      </c>
      <c r="B49" s="6" t="str">
        <f t="shared" si="7"/>
        <v>I</v>
      </c>
      <c r="C49" s="19">
        <f t="shared" si="8"/>
        <v>47006.482000000004</v>
      </c>
      <c r="D49" s="26" t="str">
        <f t="shared" si="9"/>
        <v>vis</v>
      </c>
      <c r="E49" s="63">
        <f>VLOOKUP(C49,Active!C$21:E$973,3,FALSE)</f>
        <v>8234.0599042047797</v>
      </c>
      <c r="F49" s="6" t="s">
        <v>77</v>
      </c>
      <c r="G49" s="26" t="str">
        <f t="shared" si="10"/>
        <v>47006.482</v>
      </c>
      <c r="H49" s="19">
        <f t="shared" si="11"/>
        <v>8234</v>
      </c>
      <c r="I49" s="64" t="s">
        <v>178</v>
      </c>
      <c r="J49" s="65" t="s">
        <v>179</v>
      </c>
      <c r="K49" s="64">
        <v>8234</v>
      </c>
      <c r="L49" s="64" t="s">
        <v>180</v>
      </c>
      <c r="M49" s="65" t="s">
        <v>112</v>
      </c>
      <c r="N49" s="65"/>
      <c r="O49" s="66" t="s">
        <v>123</v>
      </c>
      <c r="P49" s="66" t="s">
        <v>169</v>
      </c>
    </row>
    <row r="50" spans="1:16" ht="12.75" customHeight="1" thickBot="1">
      <c r="A50" s="19" t="str">
        <f t="shared" si="6"/>
        <v> BRNO 30 </v>
      </c>
      <c r="B50" s="6" t="str">
        <f t="shared" si="7"/>
        <v>I</v>
      </c>
      <c r="C50" s="19">
        <f t="shared" si="8"/>
        <v>47006.483999999997</v>
      </c>
      <c r="D50" s="26" t="str">
        <f t="shared" si="9"/>
        <v>vis</v>
      </c>
      <c r="E50" s="63">
        <f>VLOOKUP(C50,Active!C$21:E$973,3,FALSE)</f>
        <v>8234.0608447475643</v>
      </c>
      <c r="F50" s="6" t="s">
        <v>77</v>
      </c>
      <c r="G50" s="26" t="str">
        <f t="shared" si="10"/>
        <v>47006.484</v>
      </c>
      <c r="H50" s="19">
        <f t="shared" si="11"/>
        <v>8234</v>
      </c>
      <c r="I50" s="64" t="s">
        <v>181</v>
      </c>
      <c r="J50" s="65" t="s">
        <v>182</v>
      </c>
      <c r="K50" s="64">
        <v>8234</v>
      </c>
      <c r="L50" s="64" t="s">
        <v>158</v>
      </c>
      <c r="M50" s="65" t="s">
        <v>112</v>
      </c>
      <c r="N50" s="65"/>
      <c r="O50" s="66" t="s">
        <v>183</v>
      </c>
      <c r="P50" s="66" t="s">
        <v>169</v>
      </c>
    </row>
    <row r="51" spans="1:16" ht="12.75" customHeight="1" thickBot="1">
      <c r="A51" s="19" t="str">
        <f t="shared" si="6"/>
        <v> BRNO 30 </v>
      </c>
      <c r="B51" s="6" t="str">
        <f t="shared" si="7"/>
        <v>I</v>
      </c>
      <c r="C51" s="19">
        <f t="shared" si="8"/>
        <v>47006.485999999997</v>
      </c>
      <c r="D51" s="26" t="str">
        <f t="shared" si="9"/>
        <v>vis</v>
      </c>
      <c r="E51" s="63">
        <f>VLOOKUP(C51,Active!C$21:E$973,3,FALSE)</f>
        <v>8234.0617852903524</v>
      </c>
      <c r="F51" s="6" t="s">
        <v>77</v>
      </c>
      <c r="G51" s="26" t="str">
        <f t="shared" si="10"/>
        <v>47006.486</v>
      </c>
      <c r="H51" s="19">
        <f t="shared" si="11"/>
        <v>8234</v>
      </c>
      <c r="I51" s="64" t="s">
        <v>184</v>
      </c>
      <c r="J51" s="65" t="s">
        <v>185</v>
      </c>
      <c r="K51" s="64">
        <v>8234</v>
      </c>
      <c r="L51" s="64" t="s">
        <v>186</v>
      </c>
      <c r="M51" s="65" t="s">
        <v>112</v>
      </c>
      <c r="N51" s="65"/>
      <c r="O51" s="66" t="s">
        <v>187</v>
      </c>
      <c r="P51" s="66" t="s">
        <v>169</v>
      </c>
    </row>
    <row r="52" spans="1:16" ht="12.75" customHeight="1" thickBot="1">
      <c r="A52" s="19" t="str">
        <f t="shared" si="6"/>
        <v> BRNO 30 </v>
      </c>
      <c r="B52" s="6" t="str">
        <f t="shared" si="7"/>
        <v>I</v>
      </c>
      <c r="C52" s="19">
        <f t="shared" si="8"/>
        <v>47729.487000000001</v>
      </c>
      <c r="D52" s="26" t="str">
        <f t="shared" si="9"/>
        <v>vis</v>
      </c>
      <c r="E52" s="63">
        <f>VLOOKUP(C52,Active!C$21:E$973,3,FALSE)</f>
        <v>8574.0684734901206</v>
      </c>
      <c r="F52" s="6" t="s">
        <v>77</v>
      </c>
      <c r="G52" s="26" t="str">
        <f t="shared" si="10"/>
        <v>47729.487</v>
      </c>
      <c r="H52" s="19">
        <f t="shared" si="11"/>
        <v>8574</v>
      </c>
      <c r="I52" s="64" t="s">
        <v>188</v>
      </c>
      <c r="J52" s="65" t="s">
        <v>189</v>
      </c>
      <c r="K52" s="64">
        <v>8574</v>
      </c>
      <c r="L52" s="64" t="s">
        <v>190</v>
      </c>
      <c r="M52" s="65" t="s">
        <v>112</v>
      </c>
      <c r="N52" s="65"/>
      <c r="O52" s="66" t="s">
        <v>133</v>
      </c>
      <c r="P52" s="66" t="s">
        <v>169</v>
      </c>
    </row>
    <row r="53" spans="1:16" ht="12.75" customHeight="1" thickBot="1">
      <c r="A53" s="19" t="str">
        <f t="shared" si="6"/>
        <v> BRNO 31 </v>
      </c>
      <c r="B53" s="6" t="str">
        <f t="shared" si="7"/>
        <v>I</v>
      </c>
      <c r="C53" s="19">
        <f t="shared" si="8"/>
        <v>48486.506000000001</v>
      </c>
      <c r="D53" s="26" t="str">
        <f t="shared" si="9"/>
        <v>vis</v>
      </c>
      <c r="E53" s="63">
        <f>VLOOKUP(C53,Active!C$21:E$973,3,FALSE)</f>
        <v>8930.0728539741031</v>
      </c>
      <c r="F53" s="6" t="s">
        <v>77</v>
      </c>
      <c r="G53" s="26" t="str">
        <f t="shared" si="10"/>
        <v>48486.506</v>
      </c>
      <c r="H53" s="19">
        <f t="shared" si="11"/>
        <v>8930</v>
      </c>
      <c r="I53" s="64" t="s">
        <v>191</v>
      </c>
      <c r="J53" s="65" t="s">
        <v>192</v>
      </c>
      <c r="K53" s="64">
        <v>8930</v>
      </c>
      <c r="L53" s="64" t="s">
        <v>193</v>
      </c>
      <c r="M53" s="65" t="s">
        <v>112</v>
      </c>
      <c r="N53" s="65"/>
      <c r="O53" s="66" t="s">
        <v>194</v>
      </c>
      <c r="P53" s="66" t="s">
        <v>195</v>
      </c>
    </row>
    <row r="54" spans="1:16" ht="12.75" customHeight="1" thickBot="1">
      <c r="A54" s="19" t="str">
        <f t="shared" si="6"/>
        <v> BRNO 31 </v>
      </c>
      <c r="B54" s="6" t="str">
        <f t="shared" si="7"/>
        <v>I</v>
      </c>
      <c r="C54" s="19">
        <f t="shared" si="8"/>
        <v>48486.506000000001</v>
      </c>
      <c r="D54" s="26" t="str">
        <f t="shared" si="9"/>
        <v>vis</v>
      </c>
      <c r="E54" s="63">
        <f>VLOOKUP(C54,Active!C$21:E$973,3,FALSE)</f>
        <v>8930.0728539741031</v>
      </c>
      <c r="F54" s="6" t="s">
        <v>77</v>
      </c>
      <c r="G54" s="26" t="str">
        <f t="shared" si="10"/>
        <v>48486.506</v>
      </c>
      <c r="H54" s="19">
        <f t="shared" si="11"/>
        <v>8930</v>
      </c>
      <c r="I54" s="64" t="s">
        <v>191</v>
      </c>
      <c r="J54" s="65" t="s">
        <v>192</v>
      </c>
      <c r="K54" s="64">
        <v>8930</v>
      </c>
      <c r="L54" s="64" t="s">
        <v>193</v>
      </c>
      <c r="M54" s="65" t="s">
        <v>112</v>
      </c>
      <c r="N54" s="65"/>
      <c r="O54" s="66" t="s">
        <v>196</v>
      </c>
      <c r="P54" s="66" t="s">
        <v>195</v>
      </c>
    </row>
    <row r="55" spans="1:16" ht="12.75" customHeight="1" thickBot="1">
      <c r="A55" s="19" t="str">
        <f t="shared" si="6"/>
        <v> BRNO 31 </v>
      </c>
      <c r="B55" s="6" t="str">
        <f t="shared" si="7"/>
        <v>I</v>
      </c>
      <c r="C55" s="19">
        <f t="shared" si="8"/>
        <v>48503.517999999996</v>
      </c>
      <c r="D55" s="26" t="str">
        <f t="shared" si="9"/>
        <v>vis</v>
      </c>
      <c r="E55" s="63">
        <f>VLOOKUP(C55,Active!C$21:E$973,3,FALSE)</f>
        <v>8938.0731109303906</v>
      </c>
      <c r="F55" s="6" t="s">
        <v>77</v>
      </c>
      <c r="G55" s="26" t="str">
        <f t="shared" si="10"/>
        <v>48503.518</v>
      </c>
      <c r="H55" s="19">
        <f t="shared" si="11"/>
        <v>8938</v>
      </c>
      <c r="I55" s="64" t="s">
        <v>197</v>
      </c>
      <c r="J55" s="65" t="s">
        <v>198</v>
      </c>
      <c r="K55" s="64">
        <v>8938</v>
      </c>
      <c r="L55" s="64" t="s">
        <v>193</v>
      </c>
      <c r="M55" s="65" t="s">
        <v>112</v>
      </c>
      <c r="N55" s="65"/>
      <c r="O55" s="66" t="s">
        <v>199</v>
      </c>
      <c r="P55" s="66" t="s">
        <v>195</v>
      </c>
    </row>
    <row r="56" spans="1:16" ht="12.75" customHeight="1" thickBot="1">
      <c r="A56" s="19" t="str">
        <f t="shared" si="6"/>
        <v> BRNO 31 </v>
      </c>
      <c r="B56" s="6" t="str">
        <f t="shared" si="7"/>
        <v>I</v>
      </c>
      <c r="C56" s="19">
        <f t="shared" si="8"/>
        <v>48503.521000000001</v>
      </c>
      <c r="D56" s="26" t="str">
        <f t="shared" si="9"/>
        <v>vis</v>
      </c>
      <c r="E56" s="63">
        <f>VLOOKUP(C56,Active!C$21:E$973,3,FALSE)</f>
        <v>8938.0745217445747</v>
      </c>
      <c r="F56" s="6" t="s">
        <v>77</v>
      </c>
      <c r="G56" s="26" t="str">
        <f t="shared" si="10"/>
        <v>48503.521</v>
      </c>
      <c r="H56" s="19">
        <f t="shared" si="11"/>
        <v>8938</v>
      </c>
      <c r="I56" s="64" t="s">
        <v>200</v>
      </c>
      <c r="J56" s="65" t="s">
        <v>201</v>
      </c>
      <c r="K56" s="64">
        <v>8938</v>
      </c>
      <c r="L56" s="64" t="s">
        <v>202</v>
      </c>
      <c r="M56" s="65" t="s">
        <v>112</v>
      </c>
      <c r="N56" s="65"/>
      <c r="O56" s="66" t="s">
        <v>196</v>
      </c>
      <c r="P56" s="66" t="s">
        <v>195</v>
      </c>
    </row>
    <row r="57" spans="1:16" ht="12.75" customHeight="1" thickBot="1">
      <c r="A57" s="19" t="str">
        <f t="shared" si="6"/>
        <v> BRNO 31 </v>
      </c>
      <c r="B57" s="6" t="str">
        <f t="shared" si="7"/>
        <v>I</v>
      </c>
      <c r="C57" s="19">
        <f t="shared" si="8"/>
        <v>48956.463000000003</v>
      </c>
      <c r="D57" s="26" t="str">
        <f t="shared" si="9"/>
        <v>vis</v>
      </c>
      <c r="E57" s="63">
        <f>VLOOKUP(C57,Active!C$21:E$973,3,FALSE)</f>
        <v>9151.0801875273046</v>
      </c>
      <c r="F57" s="6" t="s">
        <v>77</v>
      </c>
      <c r="G57" s="26" t="str">
        <f t="shared" si="10"/>
        <v>48956.463</v>
      </c>
      <c r="H57" s="19">
        <f t="shared" si="11"/>
        <v>9151</v>
      </c>
      <c r="I57" s="64" t="s">
        <v>203</v>
      </c>
      <c r="J57" s="65" t="s">
        <v>204</v>
      </c>
      <c r="K57" s="64">
        <v>9151</v>
      </c>
      <c r="L57" s="64" t="s">
        <v>205</v>
      </c>
      <c r="M57" s="65" t="s">
        <v>112</v>
      </c>
      <c r="N57" s="65"/>
      <c r="O57" s="66" t="s">
        <v>133</v>
      </c>
      <c r="P57" s="66" t="s">
        <v>195</v>
      </c>
    </row>
    <row r="58" spans="1:16" ht="12.75" customHeight="1" thickBot="1">
      <c r="A58" s="19" t="str">
        <f t="shared" si="6"/>
        <v> BRNO 32 </v>
      </c>
      <c r="B58" s="6" t="str">
        <f t="shared" si="7"/>
        <v>I</v>
      </c>
      <c r="C58" s="19">
        <f t="shared" si="8"/>
        <v>50672.510699999999</v>
      </c>
      <c r="D58" s="26" t="str">
        <f t="shared" si="9"/>
        <v>vis</v>
      </c>
      <c r="E58" s="63">
        <f>VLOOKUP(C58,Active!C$21:E$973,3,FALSE)</f>
        <v>9958.0883317343323</v>
      </c>
      <c r="F58" s="6" t="s">
        <v>77</v>
      </c>
      <c r="G58" s="26" t="str">
        <f t="shared" si="10"/>
        <v>50672.5107</v>
      </c>
      <c r="H58" s="19">
        <f t="shared" si="11"/>
        <v>9958</v>
      </c>
      <c r="I58" s="64" t="s">
        <v>211</v>
      </c>
      <c r="J58" s="65" t="s">
        <v>212</v>
      </c>
      <c r="K58" s="64">
        <v>9958</v>
      </c>
      <c r="L58" s="64" t="s">
        <v>213</v>
      </c>
      <c r="M58" s="65" t="s">
        <v>112</v>
      </c>
      <c r="N58" s="65"/>
      <c r="O58" s="66" t="s">
        <v>214</v>
      </c>
      <c r="P58" s="66" t="s">
        <v>215</v>
      </c>
    </row>
    <row r="59" spans="1:16" ht="12.75" customHeight="1" thickBot="1">
      <c r="A59" s="19" t="str">
        <f t="shared" si="6"/>
        <v> BRNO 32 </v>
      </c>
      <c r="B59" s="6" t="str">
        <f t="shared" si="7"/>
        <v>I</v>
      </c>
      <c r="C59" s="19">
        <f t="shared" si="8"/>
        <v>50704.413399999998</v>
      </c>
      <c r="D59" s="26" t="str">
        <f t="shared" si="9"/>
        <v>vis</v>
      </c>
      <c r="E59" s="63">
        <f>VLOOKUP(C59,Active!C$21:E$973,3,FALSE)</f>
        <v>9973.0912589386244</v>
      </c>
      <c r="F59" s="6" t="s">
        <v>77</v>
      </c>
      <c r="G59" s="26" t="str">
        <f t="shared" si="10"/>
        <v>50704.4134</v>
      </c>
      <c r="H59" s="19">
        <f t="shared" si="11"/>
        <v>9973</v>
      </c>
      <c r="I59" s="64" t="s">
        <v>216</v>
      </c>
      <c r="J59" s="65" t="s">
        <v>217</v>
      </c>
      <c r="K59" s="64">
        <v>9973</v>
      </c>
      <c r="L59" s="64" t="s">
        <v>218</v>
      </c>
      <c r="M59" s="65" t="s">
        <v>112</v>
      </c>
      <c r="N59" s="65"/>
      <c r="O59" s="66" t="s">
        <v>219</v>
      </c>
      <c r="P59" s="66" t="s">
        <v>215</v>
      </c>
    </row>
    <row r="60" spans="1:16" ht="12.75" customHeight="1" thickBot="1">
      <c r="A60" s="19" t="str">
        <f t="shared" si="6"/>
        <v> BBS 126 </v>
      </c>
      <c r="B60" s="6" t="str">
        <f t="shared" si="7"/>
        <v>I</v>
      </c>
      <c r="C60" s="19">
        <f t="shared" si="8"/>
        <v>52118.515099999997</v>
      </c>
      <c r="D60" s="26" t="str">
        <f t="shared" si="9"/>
        <v>vis</v>
      </c>
      <c r="E60" s="63">
        <f>VLOOKUP(C60,Active!C$21:E$973,3,FALSE)</f>
        <v>10638.10283678521</v>
      </c>
      <c r="F60" s="6" t="s">
        <v>77</v>
      </c>
      <c r="G60" s="26" t="str">
        <f t="shared" si="10"/>
        <v>52118.5151</v>
      </c>
      <c r="H60" s="19">
        <f t="shared" si="11"/>
        <v>10638</v>
      </c>
      <c r="I60" s="64" t="s">
        <v>236</v>
      </c>
      <c r="J60" s="65" t="s">
        <v>237</v>
      </c>
      <c r="K60" s="64">
        <v>10638</v>
      </c>
      <c r="L60" s="64" t="s">
        <v>238</v>
      </c>
      <c r="M60" s="65" t="s">
        <v>233</v>
      </c>
      <c r="N60" s="65" t="s">
        <v>234</v>
      </c>
      <c r="O60" s="66" t="s">
        <v>239</v>
      </c>
      <c r="P60" s="66" t="s">
        <v>240</v>
      </c>
    </row>
    <row r="61" spans="1:16" ht="12.75" customHeight="1" thickBot="1">
      <c r="A61" s="19" t="str">
        <f t="shared" si="6"/>
        <v>OEJV 0094 </v>
      </c>
      <c r="B61" s="6" t="str">
        <f t="shared" si="7"/>
        <v>I</v>
      </c>
      <c r="C61" s="19">
        <f t="shared" si="8"/>
        <v>54536.314400000003</v>
      </c>
      <c r="D61" s="26" t="str">
        <f t="shared" si="9"/>
        <v>vis</v>
      </c>
      <c r="E61" s="63">
        <f>VLOOKUP(C61,Active!C$21:E$973,3,FALSE)</f>
        <v>11775.124684230397</v>
      </c>
      <c r="F61" s="6" t="s">
        <v>77</v>
      </c>
      <c r="G61" s="26" t="str">
        <f t="shared" si="10"/>
        <v>54536.3144</v>
      </c>
      <c r="H61" s="19">
        <f t="shared" si="11"/>
        <v>11775</v>
      </c>
      <c r="I61" s="64" t="s">
        <v>253</v>
      </c>
      <c r="J61" s="65" t="s">
        <v>254</v>
      </c>
      <c r="K61" s="64" t="s">
        <v>255</v>
      </c>
      <c r="L61" s="64" t="s">
        <v>256</v>
      </c>
      <c r="M61" s="65" t="s">
        <v>257</v>
      </c>
      <c r="N61" s="65" t="s">
        <v>258</v>
      </c>
      <c r="O61" s="66" t="s">
        <v>259</v>
      </c>
      <c r="P61" s="67" t="s">
        <v>260</v>
      </c>
    </row>
    <row r="62" spans="1:16" ht="12.75" customHeight="1" thickBot="1">
      <c r="A62" s="19" t="str">
        <f t="shared" si="6"/>
        <v>OEJV 0094 </v>
      </c>
      <c r="B62" s="6" t="str">
        <f t="shared" si="7"/>
        <v>I</v>
      </c>
      <c r="C62" s="19">
        <f t="shared" si="8"/>
        <v>54536.3151</v>
      </c>
      <c r="D62" s="26" t="str">
        <f t="shared" si="9"/>
        <v>vis</v>
      </c>
      <c r="E62" s="63">
        <f>VLOOKUP(C62,Active!C$21:E$973,3,FALSE)</f>
        <v>11775.125013420371</v>
      </c>
      <c r="F62" s="6" t="s">
        <v>77</v>
      </c>
      <c r="G62" s="26" t="str">
        <f t="shared" si="10"/>
        <v>54536.3151</v>
      </c>
      <c r="H62" s="19">
        <f t="shared" si="11"/>
        <v>11775</v>
      </c>
      <c r="I62" s="64" t="s">
        <v>261</v>
      </c>
      <c r="J62" s="65" t="s">
        <v>262</v>
      </c>
      <c r="K62" s="64" t="s">
        <v>255</v>
      </c>
      <c r="L62" s="64" t="s">
        <v>263</v>
      </c>
      <c r="M62" s="65" t="s">
        <v>257</v>
      </c>
      <c r="N62" s="65" t="s">
        <v>44</v>
      </c>
      <c r="O62" s="66" t="s">
        <v>259</v>
      </c>
      <c r="P62" s="67" t="s">
        <v>260</v>
      </c>
    </row>
    <row r="63" spans="1:16" ht="12.75" customHeight="1" thickBot="1">
      <c r="A63" s="19" t="str">
        <f t="shared" si="6"/>
        <v>BAVM 212 </v>
      </c>
      <c r="B63" s="6" t="str">
        <f t="shared" si="7"/>
        <v>I</v>
      </c>
      <c r="C63" s="19">
        <f t="shared" si="8"/>
        <v>55059.427900000002</v>
      </c>
      <c r="D63" s="26" t="str">
        <f t="shared" si="9"/>
        <v>vis</v>
      </c>
      <c r="E63" s="63">
        <f>VLOOKUP(C63,Active!C$21:E$973,3,FALSE)</f>
        <v>12021.129999143637</v>
      </c>
      <c r="F63" s="6" t="s">
        <v>77</v>
      </c>
      <c r="G63" s="26" t="str">
        <f t="shared" si="10"/>
        <v>55059.4279</v>
      </c>
      <c r="H63" s="19">
        <f t="shared" si="11"/>
        <v>12021</v>
      </c>
      <c r="I63" s="64" t="s">
        <v>275</v>
      </c>
      <c r="J63" s="65" t="s">
        <v>276</v>
      </c>
      <c r="K63" s="64">
        <v>12021</v>
      </c>
      <c r="L63" s="64" t="s">
        <v>277</v>
      </c>
      <c r="M63" s="65" t="s">
        <v>257</v>
      </c>
      <c r="N63" s="65">
        <v>0</v>
      </c>
      <c r="O63" s="66" t="s">
        <v>278</v>
      </c>
      <c r="P63" s="67" t="s">
        <v>279</v>
      </c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</sheetData>
  <phoneticPr fontId="8" type="noConversion"/>
  <hyperlinks>
    <hyperlink ref="A3" r:id="rId1" xr:uid="{00000000-0004-0000-0100-000000000000}"/>
    <hyperlink ref="P11" r:id="rId2" display="http://www.konkoly.hu/cgi-bin/IBVS?1255" xr:uid="{00000000-0004-0000-0100-000001000000}"/>
    <hyperlink ref="P12" r:id="rId3" display="http://var.astro.cz/oejv/issues/oejv0060.pdf" xr:uid="{00000000-0004-0000-0100-000002000000}"/>
    <hyperlink ref="P16" r:id="rId4" display="http://www.bav-astro.de/sfs/BAVM_link.php?BAVMnr=158" xr:uid="{00000000-0004-0000-0100-000003000000}"/>
    <hyperlink ref="P17" r:id="rId5" display="http://www.konkoly.hu/cgi-bin/IBVS?5746" xr:uid="{00000000-0004-0000-0100-000004000000}"/>
    <hyperlink ref="P61" r:id="rId6" display="http://var.astro.cz/oejv/issues/oejv0094.pdf" xr:uid="{00000000-0004-0000-0100-000005000000}"/>
    <hyperlink ref="P62" r:id="rId7" display="http://var.astro.cz/oejv/issues/oejv0094.pdf" xr:uid="{00000000-0004-0000-0100-000006000000}"/>
    <hyperlink ref="P18" r:id="rId8" display="http://www.konkoly.hu/cgi-bin/IBVS?5871" xr:uid="{00000000-0004-0000-0100-000007000000}"/>
    <hyperlink ref="P19" r:id="rId9" display="http://www.bav-astro.de/sfs/BAVM_link.php?BAVMnr=214" xr:uid="{00000000-0004-0000-0100-000008000000}"/>
    <hyperlink ref="P63" r:id="rId10" display="http://www.bav-astro.de/sfs/BAVM_link.php?BAVMnr=212" xr:uid="{00000000-0004-0000-0100-000009000000}"/>
    <hyperlink ref="P20" r:id="rId11" display="http://www.bav-astro.de/sfs/BAVM_link.php?BAVMnr=215" xr:uid="{00000000-0004-0000-0100-00000A000000}"/>
    <hyperlink ref="P21" r:id="rId12" display="http://www.konkoly.hu/cgi-bin/IBVS?6011" xr:uid="{00000000-0004-0000-0100-00000B000000}"/>
    <hyperlink ref="P22" r:id="rId13" display="http://www.konkoly.hu/cgi-bin/IBVS?6042" xr:uid="{00000000-0004-0000-0100-00000C000000}"/>
    <hyperlink ref="P23" r:id="rId14" display="http://www.bav-astro.de/sfs/BAVM_link.php?BAVMnr=234" xr:uid="{00000000-0004-0000-0100-00000D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63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42</v>
      </c>
      <c r="C1" s="11"/>
    </row>
    <row r="2" spans="1:4">
      <c r="A2" t="s">
        <v>28</v>
      </c>
      <c r="B2" s="12" t="s">
        <v>39</v>
      </c>
    </row>
    <row r="4" spans="1:4">
      <c r="A4" s="8" t="s">
        <v>2</v>
      </c>
      <c r="C4" s="3">
        <v>29497.315999999999</v>
      </c>
      <c r="D4" s="4">
        <v>2.1264316999999999</v>
      </c>
    </row>
    <row r="6" spans="1:4">
      <c r="A6" s="8" t="s">
        <v>3</v>
      </c>
    </row>
    <row r="7" spans="1:4">
      <c r="A7" t="s">
        <v>4</v>
      </c>
      <c r="C7">
        <v>53998.310777078215</v>
      </c>
    </row>
    <row r="8" spans="1:4">
      <c r="A8" t="s">
        <v>5</v>
      </c>
      <c r="C8">
        <v>2.1264644930897059</v>
      </c>
    </row>
    <row r="10" spans="1:4" ht="13.5" thickBot="1">
      <c r="C10" s="7" t="s">
        <v>23</v>
      </c>
      <c r="D10" s="7" t="s">
        <v>24</v>
      </c>
    </row>
    <row r="11" spans="1:4">
      <c r="A11" t="s">
        <v>18</v>
      </c>
      <c r="C11">
        <f>INTERCEPT(G21:G93,F21:F93)</f>
        <v>2.9997845603671283E-12</v>
      </c>
      <c r="D11" s="6"/>
    </row>
    <row r="12" spans="1:4">
      <c r="A12" t="s">
        <v>19</v>
      </c>
      <c r="C12">
        <f>SLOPE(G21:G93,F21:F93)</f>
        <v>1.4373668233670955E-15</v>
      </c>
      <c r="D12" s="6"/>
    </row>
    <row r="13" spans="1:4">
      <c r="A13" t="s">
        <v>22</v>
      </c>
      <c r="C13" s="6" t="s">
        <v>16</v>
      </c>
      <c r="D13" s="6"/>
    </row>
    <row r="14" spans="1:4">
      <c r="A14" t="s">
        <v>27</v>
      </c>
    </row>
    <row r="15" spans="1:4">
      <c r="A15" s="5" t="s">
        <v>20</v>
      </c>
      <c r="C15" s="17">
        <f>(C7+C11)+(C8+C12)*INT(MAX(F21:F3533))</f>
        <v>53998.310777078215</v>
      </c>
    </row>
    <row r="16" spans="1:4">
      <c r="A16" s="8" t="s">
        <v>6</v>
      </c>
      <c r="C16" s="18">
        <f>+C8+C12</f>
        <v>2.1264644930897072</v>
      </c>
    </row>
    <row r="17" spans="1:31" ht="13.5" thickBot="1">
      <c r="A17" s="21" t="s">
        <v>41</v>
      </c>
      <c r="C17">
        <f>COUNT(C21:C2191)</f>
        <v>6</v>
      </c>
    </row>
    <row r="18" spans="1:31">
      <c r="A18" s="8" t="s">
        <v>7</v>
      </c>
      <c r="C18" s="3">
        <f>+C15</f>
        <v>53998.310777078215</v>
      </c>
      <c r="D18" s="4">
        <f>+C16</f>
        <v>2.1264644930897072</v>
      </c>
    </row>
    <row r="19" spans="1:31" ht="13.5" thickTop="1"/>
    <row r="20" spans="1:31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14</v>
      </c>
      <c r="I20" s="10" t="s">
        <v>36</v>
      </c>
      <c r="J20" s="10" t="s">
        <v>38</v>
      </c>
      <c r="K20" s="10" t="s">
        <v>21</v>
      </c>
      <c r="L20" s="10" t="s">
        <v>29</v>
      </c>
      <c r="M20" s="10" t="s">
        <v>30</v>
      </c>
      <c r="N20" s="10" t="s">
        <v>31</v>
      </c>
      <c r="O20" s="10" t="s">
        <v>26</v>
      </c>
      <c r="P20" s="9" t="s">
        <v>25</v>
      </c>
      <c r="Q20" s="7" t="s">
        <v>17</v>
      </c>
    </row>
    <row r="21" spans="1:31">
      <c r="A21" t="s">
        <v>14</v>
      </c>
      <c r="C21" s="19">
        <v>29497.315999999999</v>
      </c>
      <c r="D21" s="19" t="s">
        <v>16</v>
      </c>
      <c r="E21">
        <f t="shared" ref="E21:E26" si="0">+(C21-C$7)/C$8</f>
        <v>-11521.939283114392</v>
      </c>
      <c r="F21">
        <f t="shared" ref="F21:F26" si="1">ROUND(2*E21,0)/2</f>
        <v>-11522</v>
      </c>
      <c r="H21" s="16">
        <v>0</v>
      </c>
      <c r="O21">
        <f t="shared" ref="O21:O26" si="2">+C$11+C$12*F21</f>
        <v>-1.3561555978468546E-11</v>
      </c>
      <c r="Q21" s="2">
        <f t="shared" ref="Q21:Q26" si="3">+C21-15018.5</f>
        <v>14478.815999999999</v>
      </c>
    </row>
    <row r="22" spans="1:31">
      <c r="A22" s="13" t="s">
        <v>40</v>
      </c>
      <c r="B22" s="14"/>
      <c r="C22" s="13">
        <v>39791.402999999998</v>
      </c>
      <c r="D22" s="13">
        <v>5.0000000000000001E-3</v>
      </c>
      <c r="E22">
        <f t="shared" si="0"/>
        <v>-6680.9992940140255</v>
      </c>
      <c r="F22">
        <f t="shared" si="1"/>
        <v>-6681</v>
      </c>
      <c r="G22">
        <f>+C22-(C$7+F22*C$8)</f>
        <v>1.5012541043688543E-3</v>
      </c>
      <c r="J22" s="15">
        <f>G22</f>
        <v>1.5012541043688543E-3</v>
      </c>
      <c r="O22">
        <f t="shared" si="2"/>
        <v>-6.6032631865484375E-12</v>
      </c>
      <c r="Q22" s="2">
        <f t="shared" si="3"/>
        <v>24772.902999999998</v>
      </c>
    </row>
    <row r="23" spans="1:31">
      <c r="A23" t="s">
        <v>33</v>
      </c>
      <c r="C23" s="20">
        <v>50753.321000000004</v>
      </c>
      <c r="D23" s="19">
        <v>8.0000000000000002E-3</v>
      </c>
      <c r="E23">
        <f t="shared" si="0"/>
        <v>-1526.0023328032689</v>
      </c>
      <c r="F23">
        <f t="shared" si="1"/>
        <v>-1526</v>
      </c>
      <c r="G23">
        <f>+C23-(C$7+F23*C$8)</f>
        <v>-4.9606233224039897E-3</v>
      </c>
      <c r="I23">
        <f>G23</f>
        <v>-4.9606233224039897E-3</v>
      </c>
      <c r="O23">
        <f t="shared" si="2"/>
        <v>8.0636278790894045E-13</v>
      </c>
      <c r="Q23" s="2">
        <f t="shared" si="3"/>
        <v>35734.821000000004</v>
      </c>
      <c r="AA23">
        <v>11</v>
      </c>
      <c r="AC23" t="s">
        <v>32</v>
      </c>
      <c r="AE23" t="s">
        <v>34</v>
      </c>
    </row>
    <row r="24" spans="1:31">
      <c r="A24" t="s">
        <v>33</v>
      </c>
      <c r="C24" s="20">
        <v>50753.325499999999</v>
      </c>
      <c r="D24" s="19">
        <v>8.0000000000000004E-4</v>
      </c>
      <c r="E24">
        <f t="shared" si="0"/>
        <v>-1526.0002166146328</v>
      </c>
      <c r="F24">
        <f t="shared" si="1"/>
        <v>-1526</v>
      </c>
      <c r="G24">
        <f>+C24-(C$7+F24*C$8)</f>
        <v>-4.6062332694418728E-4</v>
      </c>
      <c r="I24">
        <f>G24</f>
        <v>-4.6062332694418728E-4</v>
      </c>
      <c r="O24">
        <f t="shared" si="2"/>
        <v>8.0636278790894045E-13</v>
      </c>
      <c r="Q24" s="2">
        <f t="shared" si="3"/>
        <v>35734.825499999999</v>
      </c>
      <c r="AA24">
        <v>43</v>
      </c>
      <c r="AC24" t="s">
        <v>35</v>
      </c>
      <c r="AE24" t="s">
        <v>34</v>
      </c>
    </row>
    <row r="25" spans="1:31">
      <c r="A25" t="s">
        <v>37</v>
      </c>
      <c r="C25" s="19">
        <v>52505.530200000001</v>
      </c>
      <c r="D25" s="19">
        <v>1E-4</v>
      </c>
      <c r="E25">
        <f t="shared" si="0"/>
        <v>-702.00117703787146</v>
      </c>
      <c r="F25">
        <f t="shared" si="1"/>
        <v>-702</v>
      </c>
      <c r="G25">
        <f>+C25-(C$7+F25*C$8)</f>
        <v>-2.5029292373801582E-3</v>
      </c>
      <c r="J25">
        <f>G25</f>
        <v>-2.5029292373801582E-3</v>
      </c>
      <c r="O25">
        <f t="shared" si="2"/>
        <v>1.9907530503634275E-12</v>
      </c>
      <c r="Q25" s="2">
        <f t="shared" si="3"/>
        <v>37487.030200000001</v>
      </c>
    </row>
    <row r="26" spans="1:31">
      <c r="A26" s="22" t="s">
        <v>43</v>
      </c>
      <c r="B26" s="23" t="s">
        <v>44</v>
      </c>
      <c r="C26" s="24">
        <v>53998.317199999998</v>
      </c>
      <c r="D26" s="24">
        <v>2.0000000000000001E-4</v>
      </c>
      <c r="E26">
        <f t="shared" si="0"/>
        <v>3.0204698000986219E-3</v>
      </c>
      <c r="F26">
        <f t="shared" si="1"/>
        <v>0</v>
      </c>
      <c r="G26">
        <f>+C26-(C$7+F26*C$8)</f>
        <v>6.4229217823594809E-3</v>
      </c>
      <c r="J26">
        <f>G26</f>
        <v>6.4229217823594809E-3</v>
      </c>
      <c r="O26">
        <f t="shared" si="2"/>
        <v>2.9997845603671283E-12</v>
      </c>
      <c r="Q26" s="2">
        <f t="shared" si="3"/>
        <v>38979.817199999998</v>
      </c>
    </row>
    <row r="27" spans="1:31">
      <c r="C27" s="19"/>
      <c r="D27" s="19"/>
      <c r="Q27" s="2"/>
    </row>
    <row r="28" spans="1:31">
      <c r="C28" s="19"/>
      <c r="D28" s="19"/>
    </row>
    <row r="29" spans="1:31">
      <c r="C29" s="19"/>
      <c r="D29" s="19"/>
    </row>
    <row r="30" spans="1:31">
      <c r="C30" s="19"/>
      <c r="D30" s="19"/>
    </row>
    <row r="31" spans="1:31">
      <c r="C31" s="19"/>
      <c r="D31" s="19"/>
    </row>
    <row r="32" spans="1:31">
      <c r="C32" s="19"/>
      <c r="D32" s="19"/>
    </row>
    <row r="33" spans="3:4">
      <c r="C33" s="19"/>
      <c r="D33" s="19"/>
    </row>
    <row r="34" spans="3:4">
      <c r="C34" s="19"/>
      <c r="D34" s="19"/>
    </row>
    <row r="35" spans="3:4">
      <c r="C35" s="19"/>
      <c r="D35" s="19"/>
    </row>
    <row r="36" spans="3:4">
      <c r="C36" s="19"/>
      <c r="D36" s="19"/>
    </row>
    <row r="37" spans="3:4">
      <c r="C37" s="19"/>
      <c r="D37" s="19"/>
    </row>
    <row r="38" spans="3:4">
      <c r="C38" s="19"/>
      <c r="D38" s="19"/>
    </row>
    <row r="39" spans="3:4">
      <c r="C39" s="19"/>
      <c r="D39" s="19"/>
    </row>
    <row r="40" spans="3:4">
      <c r="C40" s="19"/>
      <c r="D40" s="19"/>
    </row>
    <row r="41" spans="3:4">
      <c r="C41" s="19"/>
      <c r="D41" s="19"/>
    </row>
    <row r="42" spans="3:4">
      <c r="C42" s="19"/>
      <c r="D42" s="19"/>
    </row>
    <row r="43" spans="3:4">
      <c r="C43" s="19"/>
      <c r="D43" s="19"/>
    </row>
    <row r="44" spans="3:4">
      <c r="C44" s="19"/>
      <c r="D44" s="19"/>
    </row>
    <row r="45" spans="3:4">
      <c r="C45" s="19"/>
      <c r="D45" s="19"/>
    </row>
    <row r="46" spans="3:4">
      <c r="C46" s="19"/>
      <c r="D46" s="19"/>
    </row>
    <row r="47" spans="3:4">
      <c r="C47" s="19"/>
      <c r="D47" s="19"/>
    </row>
    <row r="48" spans="3:4">
      <c r="C48" s="19"/>
      <c r="D48" s="19"/>
    </row>
    <row r="49" spans="3:4">
      <c r="C49" s="19"/>
      <c r="D49" s="19"/>
    </row>
    <row r="50" spans="3:4">
      <c r="C50" s="19"/>
      <c r="D50" s="19"/>
    </row>
    <row r="51" spans="3:4">
      <c r="C51" s="19"/>
      <c r="D51" s="19"/>
    </row>
    <row r="52" spans="3:4">
      <c r="C52" s="19"/>
      <c r="D52" s="19"/>
    </row>
    <row r="53" spans="3:4">
      <c r="C53" s="19"/>
      <c r="D53" s="19"/>
    </row>
    <row r="54" spans="3:4">
      <c r="C54" s="19"/>
      <c r="D54" s="19"/>
    </row>
    <row r="55" spans="3:4">
      <c r="C55" s="19"/>
      <c r="D55" s="19"/>
    </row>
    <row r="56" spans="3:4">
      <c r="C56" s="19"/>
      <c r="D56" s="19"/>
    </row>
    <row r="57" spans="3:4">
      <c r="C57" s="19"/>
      <c r="D57" s="19"/>
    </row>
    <row r="58" spans="3:4">
      <c r="C58" s="19"/>
      <c r="D58" s="19"/>
    </row>
    <row r="59" spans="3:4">
      <c r="C59" s="19"/>
      <c r="D59" s="19"/>
    </row>
    <row r="60" spans="3:4">
      <c r="C60" s="19"/>
      <c r="D60" s="19"/>
    </row>
    <row r="61" spans="3:4">
      <c r="C61" s="19"/>
      <c r="D61" s="19"/>
    </row>
    <row r="62" spans="3:4">
      <c r="C62" s="19"/>
      <c r="D62" s="19"/>
    </row>
    <row r="63" spans="3:4">
      <c r="C63" s="19"/>
      <c r="D63" s="19"/>
    </row>
    <row r="64" spans="3:4">
      <c r="C64" s="19"/>
      <c r="D64" s="19"/>
    </row>
    <row r="65" spans="3:4">
      <c r="C65" s="19"/>
      <c r="D65" s="19"/>
    </row>
    <row r="66" spans="3:4">
      <c r="C66" s="19"/>
      <c r="D66" s="19"/>
    </row>
    <row r="67" spans="3:4">
      <c r="C67" s="19"/>
      <c r="D67" s="19"/>
    </row>
    <row r="68" spans="3:4">
      <c r="C68" s="19"/>
      <c r="D68" s="19"/>
    </row>
    <row r="69" spans="3:4">
      <c r="C69" s="19"/>
      <c r="D69" s="19"/>
    </row>
    <row r="70" spans="3:4">
      <c r="C70" s="19"/>
      <c r="D70" s="19"/>
    </row>
    <row r="71" spans="3:4">
      <c r="C71" s="19"/>
      <c r="D71" s="19"/>
    </row>
    <row r="72" spans="3:4">
      <c r="C72" s="19"/>
      <c r="D72" s="19"/>
    </row>
    <row r="73" spans="3:4">
      <c r="C73" s="19"/>
      <c r="D73" s="19"/>
    </row>
    <row r="74" spans="3:4">
      <c r="C74" s="19"/>
      <c r="D74" s="19"/>
    </row>
    <row r="75" spans="3:4">
      <c r="C75" s="19"/>
      <c r="D75" s="19"/>
    </row>
    <row r="76" spans="3:4">
      <c r="C76" s="19"/>
      <c r="D76" s="19"/>
    </row>
    <row r="77" spans="3:4">
      <c r="C77" s="19"/>
      <c r="D77" s="19"/>
    </row>
    <row r="78" spans="3:4">
      <c r="C78" s="19"/>
      <c r="D78" s="19"/>
    </row>
    <row r="79" spans="3:4">
      <c r="C79" s="19"/>
      <c r="D79" s="19"/>
    </row>
    <row r="80" spans="3:4">
      <c r="C80" s="19"/>
      <c r="D80" s="19"/>
    </row>
    <row r="81" spans="3:4">
      <c r="C81" s="19"/>
      <c r="D81" s="19"/>
    </row>
    <row r="82" spans="3:4">
      <c r="C82" s="19"/>
      <c r="D82" s="19"/>
    </row>
    <row r="83" spans="3:4">
      <c r="C83" s="19"/>
      <c r="D83" s="19"/>
    </row>
    <row r="84" spans="3:4">
      <c r="C84" s="19"/>
      <c r="D84" s="19"/>
    </row>
    <row r="85" spans="3:4">
      <c r="C85" s="19"/>
      <c r="D85" s="19"/>
    </row>
    <row r="86" spans="3:4">
      <c r="C86" s="19"/>
      <c r="D86" s="19"/>
    </row>
    <row r="87" spans="3:4">
      <c r="C87" s="19"/>
      <c r="D87" s="19"/>
    </row>
    <row r="88" spans="3:4">
      <c r="C88" s="19"/>
      <c r="D88" s="19"/>
    </row>
    <row r="89" spans="3:4">
      <c r="C89" s="19"/>
      <c r="D89" s="19"/>
    </row>
    <row r="90" spans="3:4">
      <c r="C90" s="19"/>
      <c r="D90" s="19"/>
    </row>
    <row r="91" spans="3:4">
      <c r="C91" s="19"/>
      <c r="D91" s="19"/>
    </row>
    <row r="92" spans="3:4">
      <c r="C92" s="19"/>
      <c r="D92" s="19"/>
    </row>
    <row r="93" spans="3:4">
      <c r="C93" s="19"/>
      <c r="D93" s="19"/>
    </row>
    <row r="94" spans="3:4">
      <c r="C94" s="19"/>
      <c r="D94" s="19"/>
    </row>
    <row r="95" spans="3:4">
      <c r="C95" s="19"/>
      <c r="D95" s="19"/>
    </row>
    <row r="96" spans="3:4">
      <c r="C96" s="19"/>
      <c r="D96" s="19"/>
    </row>
    <row r="97" spans="3:4">
      <c r="C97" s="19"/>
      <c r="D97" s="19"/>
    </row>
    <row r="98" spans="3:4">
      <c r="C98" s="19"/>
      <c r="D98" s="19"/>
    </row>
    <row r="99" spans="3:4">
      <c r="C99" s="19"/>
      <c r="D99" s="19"/>
    </row>
    <row r="100" spans="3:4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  <row r="163" spans="3:4">
      <c r="C163" s="19"/>
      <c r="D163" s="19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2023-08-19T07:19:40Z</dcterms:modified>
</cp:coreProperties>
</file>