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AC9D516-7D41-4290-A586-6F00C1E1A67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75" i="1"/>
  <c r="F75" i="1" s="1"/>
  <c r="G75" i="1" s="1"/>
  <c r="K75" i="1" s="1"/>
  <c r="Q75" i="1"/>
  <c r="E70" i="1"/>
  <c r="F70" i="1"/>
  <c r="G70" i="1"/>
  <c r="K70" i="1"/>
  <c r="E71" i="1"/>
  <c r="F71" i="1" s="1"/>
  <c r="G71" i="1" s="1"/>
  <c r="K71" i="1" s="1"/>
  <c r="E67" i="1"/>
  <c r="F67" i="1"/>
  <c r="G67" i="1"/>
  <c r="K67" i="1"/>
  <c r="E68" i="1"/>
  <c r="F68" i="1" s="1"/>
  <c r="G68" i="1" s="1"/>
  <c r="K68" i="1" s="1"/>
  <c r="E66" i="1"/>
  <c r="F66" i="1"/>
  <c r="G66" i="1"/>
  <c r="K66" i="1"/>
  <c r="E57" i="1"/>
  <c r="F57" i="1" s="1"/>
  <c r="G57" i="1" s="1"/>
  <c r="I57" i="1" s="1"/>
  <c r="E61" i="1"/>
  <c r="F61" i="1"/>
  <c r="G61" i="1"/>
  <c r="I61" i="1"/>
  <c r="E63" i="1"/>
  <c r="F63" i="1" s="1"/>
  <c r="G63" i="1" s="1"/>
  <c r="I63" i="1" s="1"/>
  <c r="E51" i="1"/>
  <c r="F51" i="1"/>
  <c r="G51" i="1"/>
  <c r="I51" i="1"/>
  <c r="E64" i="1"/>
  <c r="F64" i="1" s="1"/>
  <c r="G64" i="1" s="1"/>
  <c r="I64" i="1" s="1"/>
  <c r="E72" i="1"/>
  <c r="F72" i="1"/>
  <c r="G72" i="1"/>
  <c r="K72" i="1"/>
  <c r="E69" i="1"/>
  <c r="F69" i="1" s="1"/>
  <c r="G69" i="1" s="1"/>
  <c r="K69" i="1" s="1"/>
  <c r="E60" i="1"/>
  <c r="F60" i="1"/>
  <c r="G60" i="1"/>
  <c r="I60" i="1"/>
  <c r="E53" i="1"/>
  <c r="F53" i="1" s="1"/>
  <c r="G53" i="1" s="1"/>
  <c r="I53" i="1" s="1"/>
  <c r="E56" i="1"/>
  <c r="F56" i="1"/>
  <c r="G56" i="1"/>
  <c r="I56" i="1"/>
  <c r="E65" i="1"/>
  <c r="F65" i="1" s="1"/>
  <c r="G65" i="1" s="1"/>
  <c r="I65" i="1" s="1"/>
  <c r="E23" i="1"/>
  <c r="F23" i="1"/>
  <c r="G23" i="1"/>
  <c r="I23" i="1"/>
  <c r="E28" i="1"/>
  <c r="F28" i="1" s="1"/>
  <c r="G28" i="1" s="1"/>
  <c r="I28" i="1" s="1"/>
  <c r="E27" i="1"/>
  <c r="F27" i="1"/>
  <c r="G27" i="1"/>
  <c r="I27" i="1"/>
  <c r="E29" i="1"/>
  <c r="F29" i="1" s="1"/>
  <c r="G29" i="1" s="1"/>
  <c r="I29" i="1" s="1"/>
  <c r="E32" i="1"/>
  <c r="F32" i="1"/>
  <c r="G32" i="1"/>
  <c r="I32" i="1"/>
  <c r="E33" i="1"/>
  <c r="F33" i="1" s="1"/>
  <c r="G33" i="1" s="1"/>
  <c r="I33" i="1" s="1"/>
  <c r="E34" i="1"/>
  <c r="F34" i="1"/>
  <c r="G34" i="1"/>
  <c r="I34" i="1"/>
  <c r="E35" i="1"/>
  <c r="F35" i="1" s="1"/>
  <c r="G35" i="1" s="1"/>
  <c r="I35" i="1" s="1"/>
  <c r="E36" i="1"/>
  <c r="E37" i="2"/>
  <c r="E37" i="1"/>
  <c r="E38" i="2" s="1"/>
  <c r="F37" i="1"/>
  <c r="G37" i="1" s="1"/>
  <c r="I37" i="1" s="1"/>
  <c r="E38" i="1"/>
  <c r="F38" i="1" s="1"/>
  <c r="G38" i="1" s="1"/>
  <c r="I38" i="1" s="1"/>
  <c r="E39" i="1"/>
  <c r="F39" i="1"/>
  <c r="G39" i="1" s="1"/>
  <c r="I39" i="1" s="1"/>
  <c r="E40" i="1"/>
  <c r="F40" i="1" s="1"/>
  <c r="G40" i="1" s="1"/>
  <c r="I40" i="1" s="1"/>
  <c r="E41" i="1"/>
  <c r="E42" i="2" s="1"/>
  <c r="F41" i="1"/>
  <c r="G41" i="1" s="1"/>
  <c r="I41" i="1" s="1"/>
  <c r="E42" i="1"/>
  <c r="F42" i="1" s="1"/>
  <c r="G42" i="1" s="1"/>
  <c r="I42" i="1" s="1"/>
  <c r="E43" i="1"/>
  <c r="E44" i="2" s="1"/>
  <c r="F43" i="1"/>
  <c r="G43" i="1" s="1"/>
  <c r="I43" i="1" s="1"/>
  <c r="E44" i="1"/>
  <c r="E45" i="2"/>
  <c r="E45" i="1"/>
  <c r="F45" i="1"/>
  <c r="G45" i="1"/>
  <c r="I45" i="1"/>
  <c r="E46" i="1"/>
  <c r="F46" i="1" s="1"/>
  <c r="G46" i="1" s="1"/>
  <c r="I46" i="1" s="1"/>
  <c r="E47" i="1"/>
  <c r="F47" i="1"/>
  <c r="G47" i="1"/>
  <c r="I47" i="1"/>
  <c r="E48" i="1"/>
  <c r="F48" i="1" s="1"/>
  <c r="G48" i="1" s="1"/>
  <c r="I48" i="1" s="1"/>
  <c r="E49" i="1"/>
  <c r="F49" i="1"/>
  <c r="G49" i="1"/>
  <c r="I49" i="1"/>
  <c r="E50" i="1"/>
  <c r="F50" i="1" s="1"/>
  <c r="G50" i="1" s="1"/>
  <c r="I50" i="1" s="1"/>
  <c r="E54" i="1"/>
  <c r="F54" i="1"/>
  <c r="G54" i="1"/>
  <c r="I54" i="1"/>
  <c r="E55" i="1"/>
  <c r="F55" i="1" s="1"/>
  <c r="G55" i="1" s="1"/>
  <c r="I55" i="1" s="1"/>
  <c r="E58" i="1"/>
  <c r="F58" i="1"/>
  <c r="G58" i="1"/>
  <c r="I58" i="1"/>
  <c r="E59" i="1"/>
  <c r="F59" i="1" s="1"/>
  <c r="G59" i="1" s="1"/>
  <c r="I59" i="1" s="1"/>
  <c r="E21" i="1"/>
  <c r="F21" i="1"/>
  <c r="G21" i="1"/>
  <c r="I21" i="1"/>
  <c r="E22" i="1"/>
  <c r="F22" i="1" s="1"/>
  <c r="G22" i="1" s="1"/>
  <c r="I22" i="1" s="1"/>
  <c r="E24" i="1"/>
  <c r="F24" i="1"/>
  <c r="G24" i="1"/>
  <c r="I24" i="1"/>
  <c r="E25" i="1"/>
  <c r="F25" i="1" s="1"/>
  <c r="G25" i="1" s="1"/>
  <c r="I25" i="1" s="1"/>
  <c r="E26" i="1"/>
  <c r="F26" i="1"/>
  <c r="G26" i="1"/>
  <c r="I26" i="1"/>
  <c r="E30" i="1"/>
  <c r="F30" i="1" s="1"/>
  <c r="G30" i="1" s="1"/>
  <c r="I30" i="1" s="1"/>
  <c r="E31" i="1"/>
  <c r="F31" i="1"/>
  <c r="G31" i="1"/>
  <c r="I31" i="1"/>
  <c r="E62" i="1"/>
  <c r="F62" i="1" s="1"/>
  <c r="G62" i="1" s="1"/>
  <c r="I62" i="1" s="1"/>
  <c r="E52" i="1"/>
  <c r="F52" i="1"/>
  <c r="G52" i="1"/>
  <c r="I5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8" i="1"/>
  <c r="Q59" i="1"/>
  <c r="Q62" i="1"/>
  <c r="Q65" i="1"/>
  <c r="Q69" i="1"/>
  <c r="Q72" i="1"/>
  <c r="G21" i="2"/>
  <c r="C21" i="2"/>
  <c r="G62" i="2"/>
  <c r="C62" i="2"/>
  <c r="E62" i="2"/>
  <c r="G20" i="2"/>
  <c r="C20" i="2"/>
  <c r="E20" i="2"/>
  <c r="G19" i="2"/>
  <c r="C19" i="2"/>
  <c r="E19" i="2"/>
  <c r="G61" i="2"/>
  <c r="C61" i="2"/>
  <c r="E61" i="2"/>
  <c r="G18" i="2"/>
  <c r="C18" i="2"/>
  <c r="E18" i="2"/>
  <c r="G17" i="2"/>
  <c r="C17" i="2"/>
  <c r="E17" i="2"/>
  <c r="G16" i="2"/>
  <c r="C16" i="2"/>
  <c r="E16" i="2"/>
  <c r="G60" i="2"/>
  <c r="C60" i="2"/>
  <c r="E60" i="2"/>
  <c r="G15" i="2"/>
  <c r="C15" i="2"/>
  <c r="E15" i="2"/>
  <c r="G14" i="2"/>
  <c r="C14" i="2"/>
  <c r="E14" i="2"/>
  <c r="G59" i="2"/>
  <c r="C59" i="2"/>
  <c r="E59" i="2"/>
  <c r="G13" i="2"/>
  <c r="C13" i="2"/>
  <c r="E13" i="2"/>
  <c r="G12" i="2"/>
  <c r="C12" i="2"/>
  <c r="E12" i="2"/>
  <c r="G58" i="2"/>
  <c r="C58" i="2"/>
  <c r="E58" i="2"/>
  <c r="G57" i="2"/>
  <c r="C57" i="2"/>
  <c r="E57" i="2"/>
  <c r="G11" i="2"/>
  <c r="C11" i="2"/>
  <c r="E11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G44" i="2"/>
  <c r="C44" i="2"/>
  <c r="G43" i="2"/>
  <c r="C43" i="2"/>
  <c r="E43" i="2"/>
  <c r="G42" i="2"/>
  <c r="C42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H21" i="2"/>
  <c r="D21" i="2"/>
  <c r="B21" i="2"/>
  <c r="A21" i="2"/>
  <c r="H62" i="2"/>
  <c r="B62" i="2"/>
  <c r="D62" i="2"/>
  <c r="A62" i="2"/>
  <c r="H20" i="2"/>
  <c r="D20" i="2"/>
  <c r="B20" i="2"/>
  <c r="A20" i="2"/>
  <c r="H19" i="2"/>
  <c r="B19" i="2"/>
  <c r="D19" i="2"/>
  <c r="A19" i="2"/>
  <c r="H61" i="2"/>
  <c r="D61" i="2"/>
  <c r="B61" i="2"/>
  <c r="A61" i="2"/>
  <c r="H18" i="2"/>
  <c r="B18" i="2"/>
  <c r="D18" i="2"/>
  <c r="A18" i="2"/>
  <c r="H17" i="2"/>
  <c r="D17" i="2"/>
  <c r="B17" i="2"/>
  <c r="A17" i="2"/>
  <c r="H16" i="2"/>
  <c r="B16" i="2"/>
  <c r="D16" i="2"/>
  <c r="A16" i="2"/>
  <c r="H60" i="2"/>
  <c r="D60" i="2"/>
  <c r="B60" i="2"/>
  <c r="A60" i="2"/>
  <c r="H15" i="2"/>
  <c r="B15" i="2"/>
  <c r="D15" i="2"/>
  <c r="A15" i="2"/>
  <c r="H14" i="2"/>
  <c r="D14" i="2"/>
  <c r="B14" i="2"/>
  <c r="A14" i="2"/>
  <c r="H59" i="2"/>
  <c r="B59" i="2"/>
  <c r="D59" i="2"/>
  <c r="A59" i="2"/>
  <c r="H13" i="2"/>
  <c r="D13" i="2"/>
  <c r="B13" i="2"/>
  <c r="A13" i="2"/>
  <c r="H12" i="2"/>
  <c r="B12" i="2"/>
  <c r="D12" i="2"/>
  <c r="A12" i="2"/>
  <c r="H58" i="2"/>
  <c r="D58" i="2"/>
  <c r="B58" i="2"/>
  <c r="A58" i="2"/>
  <c r="H57" i="2"/>
  <c r="B57" i="2"/>
  <c r="D57" i="2"/>
  <c r="A57" i="2"/>
  <c r="H11" i="2"/>
  <c r="D11" i="2"/>
  <c r="B11" i="2"/>
  <c r="A11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U10" i="1"/>
  <c r="V10" i="1"/>
  <c r="W10" i="1"/>
  <c r="AG10" i="1"/>
  <c r="U9" i="1"/>
  <c r="V9" i="1" s="1"/>
  <c r="W9" i="1" s="1"/>
  <c r="AG9" i="1" s="1"/>
  <c r="U8" i="1"/>
  <c r="V8" i="1"/>
  <c r="W8" i="1"/>
  <c r="AG8" i="1"/>
  <c r="U7" i="1"/>
  <c r="V7" i="1" s="1"/>
  <c r="W7" i="1" s="1"/>
  <c r="AL3" i="1" s="1"/>
  <c r="U6" i="1"/>
  <c r="V6" i="1"/>
  <c r="W6" i="1"/>
  <c r="AL2" i="1"/>
  <c r="U5" i="1"/>
  <c r="V5" i="1" s="1"/>
  <c r="W5" i="1" s="1"/>
  <c r="AL1" i="1" s="1"/>
  <c r="Q71" i="1"/>
  <c r="Q73" i="1"/>
  <c r="F16" i="1"/>
  <c r="C17" i="1"/>
  <c r="Q70" i="1"/>
  <c r="Q66" i="1"/>
  <c r="Q67" i="1"/>
  <c r="Q68" i="1"/>
  <c r="AO1" i="1"/>
  <c r="AO2" i="1"/>
  <c r="AO3" i="1"/>
  <c r="AJ8" i="1"/>
  <c r="AJ9" i="1"/>
  <c r="AJ10" i="1"/>
  <c r="Q57" i="1"/>
  <c r="Q60" i="1"/>
  <c r="Q61" i="1"/>
  <c r="Q63" i="1"/>
  <c r="Q64" i="1"/>
  <c r="Q51" i="1"/>
  <c r="F44" i="1"/>
  <c r="G44" i="1" s="1"/>
  <c r="I44" i="1" s="1"/>
  <c r="F36" i="1"/>
  <c r="G36" i="1" s="1"/>
  <c r="I36" i="1" s="1"/>
  <c r="E73" i="1"/>
  <c r="E21" i="2" s="1"/>
  <c r="F73" i="1"/>
  <c r="G73" i="1" s="1"/>
  <c r="K73" i="1" s="1"/>
  <c r="C11" i="1"/>
  <c r="C12" i="1"/>
  <c r="O75" i="1" l="1"/>
  <c r="O74" i="1"/>
  <c r="C16" i="1"/>
  <c r="D18" i="1" s="1"/>
  <c r="O70" i="1"/>
  <c r="O73" i="1"/>
  <c r="O54" i="1"/>
  <c r="O62" i="1"/>
  <c r="O56" i="1"/>
  <c r="O63" i="1"/>
  <c r="AM2" i="1"/>
  <c r="O53" i="1"/>
  <c r="O59" i="1"/>
  <c r="O61" i="1"/>
  <c r="O67" i="1"/>
  <c r="O58" i="1"/>
  <c r="O72" i="1"/>
  <c r="O64" i="1"/>
  <c r="AM3" i="1"/>
  <c r="O66" i="1"/>
  <c r="O55" i="1"/>
  <c r="O57" i="1"/>
  <c r="O69" i="1"/>
  <c r="O68" i="1"/>
  <c r="O52" i="1"/>
  <c r="AM1" i="1"/>
  <c r="O71" i="1"/>
  <c r="AH8" i="1"/>
  <c r="O60" i="1"/>
  <c r="O65" i="1"/>
  <c r="AH10" i="1"/>
  <c r="AH9" i="1"/>
  <c r="O51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<sst xmlns="http://schemas.openxmlformats.org/spreadsheetml/2006/main" count="604" uniqueCount="253">
  <si>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</si>
  <si>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</si>
  <si>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</si>
  <si>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</si>
  <si>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</si>
  <si>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</si>
  <si>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</si>
  <si>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</si>
  <si>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</si>
  <si>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</si>
  <si>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</si>
  <si>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</si>
  <si>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</si>
  <si>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</si>
  <si>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</si>
  <si>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</si>
  <si>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</si>
  <si>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</si>
  <si>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</si>
  <si>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</si>
  <si>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</si>
  <si>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</si>
  <si>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</si>
  <si>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</si>
  <si>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</si>
  <si>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</si>
  <si>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</si>
  <si>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</si>
  <si>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</si>
  <si>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HARTH MITT. 15</t>
  </si>
  <si>
    <t>K</t>
  </si>
  <si>
    <t>BAAVSS 66,32</t>
  </si>
  <si>
    <t>Locher K</t>
  </si>
  <si>
    <t>BBSAG Bull.83</t>
  </si>
  <si>
    <t>B</t>
  </si>
  <si>
    <t>BBSAG Bull.99</t>
  </si>
  <si>
    <t>BBSAG Bull.101</t>
  </si>
  <si>
    <t>II</t>
  </si>
  <si>
    <t># of data points:</t>
  </si>
  <si>
    <t>CR Cas / GSC 03997-01059</t>
  </si>
  <si>
    <t>EB/SD</t>
  </si>
  <si>
    <t>OEJV 0074</t>
  </si>
  <si>
    <t>I</t>
  </si>
  <si>
    <t>CCD</t>
  </si>
  <si>
    <t>OEJV 0094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</si>
  <si>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</si>
  <si>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</si>
  <si>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</si>
  <si>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</si>
  <si>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</si>
  <si>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</si>
  <si>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5960</t>
  </si>
  <si>
    <t>IBVS 6007</t>
  </si>
  <si>
    <t>Add cycle</t>
  </si>
  <si>
    <t>Old Cycle</t>
  </si>
  <si>
    <t>BAD</t>
  </si>
  <si>
    <t>WRONG STAR??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</si>
  <si>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</si>
  <si>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</si>
  <si>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</si>
  <si>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</si>
  <si>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</si>
  <si>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</si>
  <si>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</si>
  <si>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</si>
  <si>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</si>
  <si>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</si>
  <si>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</si>
  <si>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2416711.37 </t>
  </si>
  <si>
    <t> 18.08.1904 20:52 </t>
  </si>
  <si>
    <t> 0.04 </t>
  </si>
  <si>
    <t>P </t>
  </si>
  <si>
    <t> Z.G.Repin </t>
  </si>
  <si>
    <t> PZ 10.330 </t>
  </si>
  <si>
    <t>2417793.438 </t>
  </si>
  <si>
    <t> 05.08.1907 22:30 </t>
  </si>
  <si>
    <t> 0.003 </t>
  </si>
  <si>
    <t>2428100.421 </t>
  </si>
  <si>
    <t> 24.10.1935 22:06 </t>
  </si>
  <si>
    <t> -0.038 </t>
  </si>
  <si>
    <t> A.V.Nielsen </t>
  </si>
  <si>
    <t> BZ 19.47 </t>
  </si>
  <si>
    <t>2429165.410 </t>
  </si>
  <si>
    <t> 23.09.1938 21:50 </t>
  </si>
  <si>
    <t> -0.118 </t>
  </si>
  <si>
    <t>2429462.260 </t>
  </si>
  <si>
    <t> 17.07.1939 18:14 </t>
  </si>
  <si>
    <t> -0.067 </t>
  </si>
  <si>
    <t>2429486.46 </t>
  </si>
  <si>
    <t> 10.08.1939 23:02 </t>
  </si>
  <si>
    <t> -0.01 </t>
  </si>
  <si>
    <t>2430321.440 </t>
  </si>
  <si>
    <t> 22.11.1941 22:33 </t>
  </si>
  <si>
    <t> -0.042 </t>
  </si>
  <si>
    <t> K.Häussler </t>
  </si>
  <si>
    <t> MHAR 15.6 </t>
  </si>
  <si>
    <t>2430940.59 </t>
  </si>
  <si>
    <t> 04.08.1943 02:09 </t>
  </si>
  <si>
    <t> -0.05 </t>
  </si>
  <si>
    <t>? </t>
  </si>
  <si>
    <t>2431443.331 </t>
  </si>
  <si>
    <t> 18.12.1944 19:56 </t>
  </si>
  <si>
    <t> -0.024 </t>
  </si>
  <si>
    <t>2433329.18 </t>
  </si>
  <si>
    <t> 16.02.1950 16:19 </t>
  </si>
  <si>
    <t> -0.06 </t>
  </si>
  <si>
    <t>2433357.539 </t>
  </si>
  <si>
    <t> 17.03.1950 00:56 </t>
  </si>
  <si>
    <t> -0.099 </t>
  </si>
  <si>
    <t>2433925.544 </t>
  </si>
  <si>
    <t> 06.10.1951 01:03 </t>
  </si>
  <si>
    <t> -0.131 </t>
  </si>
  <si>
    <t>2434121.540 </t>
  </si>
  <si>
    <t> 19.04.1952 00:57 </t>
  </si>
  <si>
    <t> -0.107 </t>
  </si>
  <si>
    <t>2435223.492 </t>
  </si>
  <si>
    <t> 25.04.1955 23:48 </t>
  </si>
  <si>
    <t> -0.146 </t>
  </si>
  <si>
    <t>2435757.528 </t>
  </si>
  <si>
    <t> 11.10.1956 00:40 </t>
  </si>
  <si>
    <t> -0.065 </t>
  </si>
  <si>
    <t>2435814.322 </t>
  </si>
  <si>
    <t> 06.12.1956 19:43 </t>
  </si>
  <si>
    <t> -0.074 </t>
  </si>
  <si>
    <t>2436541.355 </t>
  </si>
  <si>
    <t> 03.12.1958 20:31 </t>
  </si>
  <si>
    <t> -0.128 </t>
  </si>
  <si>
    <t>2436598.260 </t>
  </si>
  <si>
    <t> 29.01.1959 18:14 </t>
  </si>
  <si>
    <t> -0.027 </t>
  </si>
  <si>
    <t>2436815.552 </t>
  </si>
  <si>
    <t> 04.09.1959 01:14 </t>
  </si>
  <si>
    <t> -0.009 </t>
  </si>
  <si>
    <t>2437082.452 </t>
  </si>
  <si>
    <t> 27.05.1960 22:50 </t>
  </si>
  <si>
    <t> -0.086 </t>
  </si>
  <si>
    <t>2437349.452 </t>
  </si>
  <si>
    <t> 18.02.1961 22:50 </t>
  </si>
  <si>
    <t> -0.063 </t>
  </si>
  <si>
    <t>2437944.510 </t>
  </si>
  <si>
    <t> 07.10.1962 00:14 </t>
  </si>
  <si>
    <t>2438373.382 </t>
  </si>
  <si>
    <t> 09.12.1963 21:10 </t>
  </si>
  <si>
    <t> -0.019 </t>
  </si>
  <si>
    <t>2438410.344 </t>
  </si>
  <si>
    <t> 15.01.1964 20:15 </t>
  </si>
  <si>
    <t> 0.020 </t>
  </si>
  <si>
    <t>2439029.461 </t>
  </si>
  <si>
    <t> 25.09.1965 23:03 </t>
  </si>
  <si>
    <t> -0.023 </t>
  </si>
  <si>
    <t>2439056.451 </t>
  </si>
  <si>
    <t> 22.10.1965 22:49 </t>
  </si>
  <si>
    <t> -0.014 </t>
  </si>
  <si>
    <t>2439330.501 </t>
  </si>
  <si>
    <t> 24.07.1966 00:01 </t>
  </si>
  <si>
    <t>2439800.565 </t>
  </si>
  <si>
    <t> 06.11.1967 01:33 </t>
  </si>
  <si>
    <t> -0.028 </t>
  </si>
  <si>
    <t>2440148.446 </t>
  </si>
  <si>
    <t> 18.10.1968 22:42 </t>
  </si>
  <si>
    <t> -0.070 </t>
  </si>
  <si>
    <t>2440232.319 </t>
  </si>
  <si>
    <t> 10.01.1969 19:39 </t>
  </si>
  <si>
    <t> 0.018 </t>
  </si>
  <si>
    <t>2440526.33 </t>
  </si>
  <si>
    <t> 31.10.1969 19:55 </t>
  </si>
  <si>
    <t> 0.07 </t>
  </si>
  <si>
    <t> L.Rosino et al. </t>
  </si>
  <si>
    <t> AAPS 24.2 </t>
  </si>
  <si>
    <t>2440563.27 </t>
  </si>
  <si>
    <t> 07.12.1969 18:28 </t>
  </si>
  <si>
    <t> 0.09 </t>
  </si>
  <si>
    <t>2441361.265 </t>
  </si>
  <si>
    <t> 13.02.1972 18:21 </t>
  </si>
  <si>
    <t>2441598.439 </t>
  </si>
  <si>
    <t> 07.10.1972 22:32 </t>
  </si>
  <si>
    <t> 0.010 </t>
  </si>
  <si>
    <t>2441736.27 </t>
  </si>
  <si>
    <t> 22.02.1973 18:28 </t>
  </si>
  <si>
    <t>2441973.328 </t>
  </si>
  <si>
    <t> 17.10.1973 19:52 </t>
  </si>
  <si>
    <t> -0.005 </t>
  </si>
  <si>
    <t>2441980.394 </t>
  </si>
  <si>
    <t> 24.10.1973 21:27 </t>
  </si>
  <si>
    <t> -0.040 </t>
  </si>
  <si>
    <t>2443792.490 </t>
  </si>
  <si>
    <t> 10.10.1978 23:45 </t>
  </si>
  <si>
    <t>2446442.308 </t>
  </si>
  <si>
    <t> 11.01.1986 19:23 </t>
  </si>
  <si>
    <t> -0.053 </t>
  </si>
  <si>
    <t>V </t>
  </si>
  <si>
    <t> T.Brelstaff </t>
  </si>
  <si>
    <t> VSSC 66.35 </t>
  </si>
  <si>
    <t>2446902.406 </t>
  </si>
  <si>
    <t> 16.04.1987 21:44 </t>
  </si>
  <si>
    <t> K.Locher </t>
  </si>
  <si>
    <t> BBS 83 </t>
  </si>
  <si>
    <t>2447791.39 </t>
  </si>
  <si>
    <t> 21.09.1989 21:21 </t>
  </si>
  <si>
    <t> VSSC 73 </t>
  </si>
  <si>
    <t>2448518.466 </t>
  </si>
  <si>
    <t> 18.09.1991 23:11 </t>
  </si>
  <si>
    <t> -0.069 </t>
  </si>
  <si>
    <t> BBS 99 </t>
  </si>
  <si>
    <t>2448819.550 </t>
  </si>
  <si>
    <t> 16.07.1992 01:12 </t>
  </si>
  <si>
    <t> -0.044 </t>
  </si>
  <si>
    <t> BBS 101 </t>
  </si>
  <si>
    <t>2451925.271 </t>
  </si>
  <si>
    <t> 15.01.2001 18:30 </t>
  </si>
  <si>
    <t>E </t>
  </si>
  <si>
    <t>?</t>
  </si>
  <si>
    <t> R.Diethelm </t>
  </si>
  <si>
    <t> BBS 124 </t>
  </si>
  <si>
    <t>2452858.43638 </t>
  </si>
  <si>
    <t> 06.08.2003 22:28 </t>
  </si>
  <si>
    <t> 0.10179 </t>
  </si>
  <si>
    <t>C </t>
  </si>
  <si>
    <t>o</t>
  </si>
  <si>
    <t> K.Koss </t>
  </si>
  <si>
    <t>OEJV 0074 </t>
  </si>
  <si>
    <t>2452875.47954 </t>
  </si>
  <si>
    <t> 23.08.2003 23:30 </t>
  </si>
  <si>
    <t> 0.10386 </t>
  </si>
  <si>
    <t> J.Kudrnácová </t>
  </si>
  <si>
    <t>2452909.55984 </t>
  </si>
  <si>
    <t> 27.09.2003 01:26 </t>
  </si>
  <si>
    <t> 0.10196 </t>
  </si>
  <si>
    <t> P.Hájek </t>
  </si>
  <si>
    <t>2455082.3348 </t>
  </si>
  <si>
    <t> 07.09.2009 20:02 </t>
  </si>
  <si>
    <t> 0.1369 </t>
  </si>
  <si>
    <t> H.Jungbluth </t>
  </si>
  <si>
    <t>BAVM 212 </t>
  </si>
  <si>
    <t>2455502.6830 </t>
  </si>
  <si>
    <t> 02.11.2010 04:23 </t>
  </si>
  <si>
    <t> 0.1380 </t>
  </si>
  <si>
    <t>IBVS 5960 </t>
  </si>
  <si>
    <t>2455836.40797 </t>
  </si>
  <si>
    <t> 01.10.2011 21:47 </t>
  </si>
  <si>
    <t> 0.14151 </t>
  </si>
  <si>
    <t>R</t>
  </si>
  <si>
    <t> R.Uhlar </t>
  </si>
  <si>
    <t>IBVS 6007 </t>
  </si>
  <si>
    <t>2455836.4147 </t>
  </si>
  <si>
    <t> 01.10.2011 21:57 </t>
  </si>
  <si>
    <t> 0.1482 </t>
  </si>
  <si>
    <t>BAVM 225 </t>
  </si>
  <si>
    <t>2455866.23094 </t>
  </si>
  <si>
    <t> 31.10.2011 17:32 </t>
  </si>
  <si>
    <t> 0.14256 </t>
  </si>
  <si>
    <t> H.Kucáková 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</si>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</sst>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Cas - O-C Diagr.</a:t>
            </a:r>
          </a:p>
        </c:rich>
      </c:tx>
      <c:layout>
        <c:manualLayout>
          <c:xMode val="edge"/>
          <c:yMode val="edge"/>
          <c:x val="0.3779911003947472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723926380368099"/>
          <c:w val="0.8070188008043024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69-4E56-ACB4-2F2AAA3328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4.4454999999288702E-2</c:v>
                </c:pt>
                <c:pt idx="1">
                  <c:v>2.7319999971950892E-3</c:v>
                </c:pt>
                <c:pt idx="2">
                  <c:v>-3.837500000372529E-2</c:v>
                </c:pt>
                <c:pt idx="3">
                  <c:v>-0.11800000000221189</c:v>
                </c:pt>
                <c:pt idx="4">
                  <c:v>-6.712350000088918E-2</c:v>
                </c:pt>
                <c:pt idx="5">
                  <c:v>-8.6790000023029279E-3</c:v>
                </c:pt>
                <c:pt idx="6">
                  <c:v>-4.2481000000407221E-2</c:v>
                </c:pt>
                <c:pt idx="7">
                  <c:v>-5.2375000002939487E-2</c:v>
                </c:pt>
                <c:pt idx="8">
                  <c:v>-2.376600000570761E-2</c:v>
                </c:pt>
                <c:pt idx="9">
                  <c:v>-5.6278000003658235E-2</c:v>
                </c:pt>
                <c:pt idx="10">
                  <c:v>-9.9108000002161134E-2</c:v>
                </c:pt>
                <c:pt idx="11">
                  <c:v>-0.13070799999695737</c:v>
                </c:pt>
                <c:pt idx="12">
                  <c:v>-0.10733500000060303</c:v>
                </c:pt>
                <c:pt idx="13">
                  <c:v>-0.14633900000626454</c:v>
                </c:pt>
                <c:pt idx="14">
                  <c:v>-6.4743000002636109E-2</c:v>
                </c:pt>
                <c:pt idx="15">
                  <c:v>-7.4402999998710584E-2</c:v>
                </c:pt>
                <c:pt idx="16">
                  <c:v>-0.12825100000191014</c:v>
                </c:pt>
                <c:pt idx="17">
                  <c:v>-2.6911000000836793E-2</c:v>
                </c:pt>
                <c:pt idx="18">
                  <c:v>-8.9105000006384216E-3</c:v>
                </c:pt>
                <c:pt idx="19">
                  <c:v>-8.6112500001036096E-2</c:v>
                </c:pt>
                <c:pt idx="20">
                  <c:v>-6.3314500002888963E-2</c:v>
                </c:pt>
                <c:pt idx="21">
                  <c:v>-2.36529999965569E-2</c:v>
                </c:pt>
                <c:pt idx="22">
                  <c:v>-1.9286000002466608E-2</c:v>
                </c:pt>
                <c:pt idx="23">
                  <c:v>2.0334999993792735E-2</c:v>
                </c:pt>
                <c:pt idx="24">
                  <c:v>-2.2558999997272622E-2</c:v>
                </c:pt>
                <c:pt idx="25">
                  <c:v>-1.4297499998065177E-2</c:v>
                </c:pt>
                <c:pt idx="26">
                  <c:v>-4.1957000008551404E-2</c:v>
                </c:pt>
                <c:pt idx="27">
                  <c:v>-2.8243499997188337E-2</c:v>
                </c:pt>
                <c:pt idx="28">
                  <c:v>-6.9661000001360662E-2</c:v>
                </c:pt>
                <c:pt idx="29">
                  <c:v>1.7940500001714099E-2</c:v>
                </c:pt>
                <c:pt idx="30">
                  <c:v>0</c:v>
                </c:pt>
                <c:pt idx="31">
                  <c:v>6.9999999999708962E-2</c:v>
                </c:pt>
                <c:pt idx="32">
                  <c:v>8.7620999991486315E-2</c:v>
                </c:pt>
                <c:pt idx="33">
                  <c:v>-8.802000003925059E-3</c:v>
                </c:pt>
                <c:pt idx="34">
                  <c:v>9.9174999995739199E-3</c:v>
                </c:pt>
                <c:pt idx="35">
                  <c:v>9.204199999658158E-2</c:v>
                </c:pt>
                <c:pt idx="36">
                  <c:v>-5.2385000017238781E-3</c:v>
                </c:pt>
                <c:pt idx="37">
                  <c:v>-3.9695999999821652E-2</c:v>
                </c:pt>
                <c:pt idx="38">
                  <c:v>1.9549999997252598E-2</c:v>
                </c:pt>
                <c:pt idx="39">
                  <c:v>-5.3189000005659182E-2</c:v>
                </c:pt>
                <c:pt idx="40">
                  <c:v>-6.483499999740161E-2</c:v>
                </c:pt>
                <c:pt idx="41">
                  <c:v>-5.8113999999477528E-2</c:v>
                </c:pt>
                <c:pt idx="42">
                  <c:v>-6.896200000483077E-2</c:v>
                </c:pt>
                <c:pt idx="43">
                  <c:v>-4.4359999999869615E-2</c:v>
                </c:pt>
                <c:pt idx="44">
                  <c:v>-6.3470500004768837E-2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69-4E56-ACB4-2F2AAA3328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69-4E56-ACB4-2F2AAA3328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45">
                  <c:v>0.10179399999469751</c:v>
                </c:pt>
                <c:pt idx="46">
                  <c:v>0.10385600000154227</c:v>
                </c:pt>
                <c:pt idx="47">
                  <c:v>0.10195999999996275</c:v>
                </c:pt>
                <c:pt idx="48">
                  <c:v>0.13692499999160646</c:v>
                </c:pt>
                <c:pt idx="49">
                  <c:v>0.13804099999106256</c:v>
                </c:pt>
                <c:pt idx="50">
                  <c:v>0.1415084999971441</c:v>
                </c:pt>
                <c:pt idx="51">
                  <c:v>0.148238499998115</c:v>
                </c:pt>
                <c:pt idx="52">
                  <c:v>0.1425569999992149</c:v>
                </c:pt>
                <c:pt idx="53">
                  <c:v>0.18975399999908404</c:v>
                </c:pt>
                <c:pt idx="54">
                  <c:v>0.14747499999793945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69-4E56-ACB4-2F2AAA3328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69-4E56-ACB4-2F2AAA3328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69-4E56-ACB4-2F2AAA3328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5.0000000000000001E-3</c:v>
                  </c:pt>
                  <c:pt idx="43">
                    <c:v>1.2E-2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4.8999999999999998E-4</c:v>
                  </c:pt>
                  <c:pt idx="51">
                    <c:v>0</c:v>
                  </c:pt>
                  <c:pt idx="52">
                    <c:v>2.7E-4</c:v>
                  </c:pt>
                  <c:pt idx="53">
                    <c:v>1.8E-3</c:v>
                  </c:pt>
                  <c:pt idx="54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69-4E56-ACB4-2F2AAA3328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30">
                  <c:v>-7.5352090677462125E-3</c:v>
                </c:pt>
                <c:pt idx="31">
                  <c:v>-7.5352090677462125E-3</c:v>
                </c:pt>
                <c:pt idx="32">
                  <c:v>-7.1792949006588593E-3</c:v>
                </c:pt>
                <c:pt idx="33">
                  <c:v>5.1392671099855479E-4</c:v>
                </c:pt>
                <c:pt idx="34">
                  <c:v>2.7999907842134793E-3</c:v>
                </c:pt>
                <c:pt idx="35">
                  <c:v>4.1278244075778365E-3</c:v>
                </c:pt>
                <c:pt idx="36">
                  <c:v>6.4138884807927628E-3</c:v>
                </c:pt>
                <c:pt idx="37">
                  <c:v>6.4823335129249454E-3</c:v>
                </c:pt>
                <c:pt idx="38">
                  <c:v>2.3949505713058143E-2</c:v>
                </c:pt>
                <c:pt idx="39">
                  <c:v>4.949319170478899E-2</c:v>
                </c:pt>
                <c:pt idx="40">
                  <c:v>5.3928429786954467E-2</c:v>
                </c:pt>
                <c:pt idx="41">
                  <c:v>6.2497747809903831E-2</c:v>
                </c:pt>
                <c:pt idx="42">
                  <c:v>6.9506519100239403E-2</c:v>
                </c:pt>
                <c:pt idx="43">
                  <c:v>7.2408588462643989E-2</c:v>
                </c:pt>
                <c:pt idx="44">
                  <c:v>0.10234644551726099</c:v>
                </c:pt>
                <c:pt idx="45">
                  <c:v>0.11134012273942989</c:v>
                </c:pt>
                <c:pt idx="46">
                  <c:v>0.11150439081654713</c:v>
                </c:pt>
                <c:pt idx="47">
                  <c:v>0.11183292697078162</c:v>
                </c:pt>
                <c:pt idx="48">
                  <c:v>0.13277710680322974</c:v>
                </c:pt>
                <c:pt idx="49">
                  <c:v>0.13682905270545498</c:v>
                </c:pt>
                <c:pt idx="50">
                  <c:v>0.14004596921566762</c:v>
                </c:pt>
                <c:pt idx="51">
                  <c:v>0.14004596921566762</c:v>
                </c:pt>
                <c:pt idx="52">
                  <c:v>0.14033343835062279</c:v>
                </c:pt>
                <c:pt idx="53">
                  <c:v>0.17211931127280874</c:v>
                </c:pt>
                <c:pt idx="54">
                  <c:v>0.1724752254398961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69-4E56-ACB4-2F2AAA3328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-8385</c:v>
                </c:pt>
                <c:pt idx="1">
                  <c:v>-8004</c:v>
                </c:pt>
                <c:pt idx="2">
                  <c:v>-4375</c:v>
                </c:pt>
                <c:pt idx="3">
                  <c:v>-4000</c:v>
                </c:pt>
                <c:pt idx="4">
                  <c:v>-3895.5</c:v>
                </c:pt>
                <c:pt idx="5">
                  <c:v>-3887</c:v>
                </c:pt>
                <c:pt idx="6">
                  <c:v>-3593</c:v>
                </c:pt>
                <c:pt idx="7">
                  <c:v>-3375</c:v>
                </c:pt>
                <c:pt idx="8">
                  <c:v>-3198</c:v>
                </c:pt>
                <c:pt idx="9">
                  <c:v>-2534</c:v>
                </c:pt>
                <c:pt idx="10">
                  <c:v>-2524</c:v>
                </c:pt>
                <c:pt idx="11">
                  <c:v>-2324</c:v>
                </c:pt>
                <c:pt idx="12">
                  <c:v>-2255</c:v>
                </c:pt>
                <c:pt idx="13">
                  <c:v>-1867</c:v>
                </c:pt>
                <c:pt idx="14">
                  <c:v>-1679</c:v>
                </c:pt>
                <c:pt idx="15">
                  <c:v>-1659</c:v>
                </c:pt>
                <c:pt idx="16">
                  <c:v>-1403</c:v>
                </c:pt>
                <c:pt idx="17">
                  <c:v>-1383</c:v>
                </c:pt>
                <c:pt idx="18">
                  <c:v>-1306.5</c:v>
                </c:pt>
                <c:pt idx="19">
                  <c:v>-1212.5</c:v>
                </c:pt>
                <c:pt idx="20">
                  <c:v>-1118.5</c:v>
                </c:pt>
                <c:pt idx="21">
                  <c:v>-909</c:v>
                </c:pt>
                <c:pt idx="22">
                  <c:v>-758</c:v>
                </c:pt>
                <c:pt idx="23">
                  <c:v>-745</c:v>
                </c:pt>
                <c:pt idx="24">
                  <c:v>-527</c:v>
                </c:pt>
                <c:pt idx="25">
                  <c:v>-517.5</c:v>
                </c:pt>
                <c:pt idx="26">
                  <c:v>-421</c:v>
                </c:pt>
                <c:pt idx="27">
                  <c:v>-255.5</c:v>
                </c:pt>
                <c:pt idx="28">
                  <c:v>-133</c:v>
                </c:pt>
                <c:pt idx="29">
                  <c:v>-103.5</c:v>
                </c:pt>
                <c:pt idx="30">
                  <c:v>0</c:v>
                </c:pt>
                <c:pt idx="31">
                  <c:v>0</c:v>
                </c:pt>
                <c:pt idx="32">
                  <c:v>13</c:v>
                </c:pt>
                <c:pt idx="33">
                  <c:v>294</c:v>
                </c:pt>
                <c:pt idx="34">
                  <c:v>377.5</c:v>
                </c:pt>
                <c:pt idx="35">
                  <c:v>426</c:v>
                </c:pt>
                <c:pt idx="36">
                  <c:v>509.5</c:v>
                </c:pt>
                <c:pt idx="37">
                  <c:v>512</c:v>
                </c:pt>
                <c:pt idx="38">
                  <c:v>1150</c:v>
                </c:pt>
                <c:pt idx="39">
                  <c:v>2083</c:v>
                </c:pt>
                <c:pt idx="40">
                  <c:v>2245</c:v>
                </c:pt>
                <c:pt idx="41">
                  <c:v>2558</c:v>
                </c:pt>
                <c:pt idx="42">
                  <c:v>2814</c:v>
                </c:pt>
                <c:pt idx="43">
                  <c:v>2920</c:v>
                </c:pt>
                <c:pt idx="44">
                  <c:v>4013.5</c:v>
                </c:pt>
                <c:pt idx="45">
                  <c:v>4342</c:v>
                </c:pt>
                <c:pt idx="46">
                  <c:v>4348</c:v>
                </c:pt>
                <c:pt idx="47">
                  <c:v>4360</c:v>
                </c:pt>
                <c:pt idx="48">
                  <c:v>5125</c:v>
                </c:pt>
                <c:pt idx="49">
                  <c:v>5273</c:v>
                </c:pt>
                <c:pt idx="50">
                  <c:v>5390.5</c:v>
                </c:pt>
                <c:pt idx="51">
                  <c:v>5390.5</c:v>
                </c:pt>
                <c:pt idx="52">
                  <c:v>5401</c:v>
                </c:pt>
                <c:pt idx="53">
                  <c:v>6562</c:v>
                </c:pt>
                <c:pt idx="54">
                  <c:v>6575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69-4E56-ACB4-2F2AAA33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114320"/>
        <c:axId val="1"/>
      </c:scatterChart>
      <c:valAx>
        <c:axId val="56011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11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46444971890473"/>
          <c:y val="0.92024539877300615"/>
          <c:w val="0.757576929678048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419100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A4CABE-55D8-EFFC-ED07-8F1E07835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60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6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41" ht="20.25" x14ac:dyDescent="0.3">
      <c r="A1" s="1" t="s">
        <v>39</v>
      </c>
      <c r="AF1" s="30"/>
      <c r="AG1" s="34"/>
      <c r="AH1" s="30"/>
      <c r="AI1" s="30"/>
      <c r="AJ1" s="30"/>
      <c r="AK1" s="30"/>
      <c r="AL1" s="30">
        <f>+W5</f>
        <v>-0.15327200001047458</v>
      </c>
      <c r="AM1" s="30">
        <f ca="1">+C$11+C$12*V5</f>
        <v>0.11714426146423905</v>
      </c>
      <c r="AN1" s="30"/>
      <c r="AO1" s="32">
        <f>+S5-15018.5</f>
        <v>38441.800109999996</v>
      </c>
    </row>
    <row r="2" spans="1:41" x14ac:dyDescent="0.2">
      <c r="A2" t="s">
        <v>24</v>
      </c>
      <c r="B2" s="8" t="s">
        <v>40</v>
      </c>
      <c r="AF2" s="30"/>
      <c r="AG2" s="34"/>
      <c r="AH2" s="30"/>
      <c r="AI2" s="30"/>
      <c r="AJ2" s="30"/>
      <c r="AK2" s="30"/>
      <c r="AL2" s="30">
        <f>+W6</f>
        <v>3.0593999996199273E-2</v>
      </c>
      <c r="AM2" s="30">
        <f ca="1">+C$11+C$12*V6</f>
        <v>0.11900596633823443</v>
      </c>
      <c r="AN2" s="30"/>
      <c r="AO2" s="32">
        <f>+S6-15018.5</f>
        <v>38635.116419999998</v>
      </c>
    </row>
    <row r="3" spans="1:41" ht="13.5" thickBot="1" x14ac:dyDescent="0.25">
      <c r="AF3" s="30"/>
      <c r="AG3" s="34"/>
      <c r="AH3" s="30"/>
      <c r="AI3" s="30"/>
      <c r="AJ3" s="30"/>
      <c r="AK3" s="30"/>
      <c r="AL3" s="30">
        <f>+W7</f>
        <v>-0.11106499999732478</v>
      </c>
      <c r="AM3" s="30">
        <f ca="1">+C$11+C$12*V7</f>
        <v>0.12346858243325279</v>
      </c>
      <c r="AN3" s="30"/>
      <c r="AO3" s="32">
        <f>+S7-15018.5</f>
        <v>39097.924590000002</v>
      </c>
    </row>
    <row r="4" spans="1:41" ht="14.25" thickTop="1" thickBot="1" x14ac:dyDescent="0.25">
      <c r="A4" s="5" t="s">
        <v>0</v>
      </c>
      <c r="C4" s="2">
        <v>40526.26</v>
      </c>
      <c r="D4" s="3">
        <v>2.8401830000000001</v>
      </c>
      <c r="Q4" s="16" t="s">
        <v>56</v>
      </c>
      <c r="R4" s="16"/>
      <c r="S4" s="16"/>
      <c r="T4" s="16"/>
    </row>
    <row r="5" spans="1:41" ht="13.5" thickTop="1" x14ac:dyDescent="0.2">
      <c r="A5" s="10" t="s">
        <v>45</v>
      </c>
      <c r="B5" s="11"/>
      <c r="C5" s="12">
        <v>-9.5</v>
      </c>
      <c r="D5" s="11" t="s">
        <v>46</v>
      </c>
      <c r="Q5" s="28" t="s">
        <v>41</v>
      </c>
      <c r="R5" s="29" t="s">
        <v>42</v>
      </c>
      <c r="S5" s="28">
        <v>53460.300109999996</v>
      </c>
      <c r="T5" s="28">
        <v>1.5E-3</v>
      </c>
      <c r="U5" s="30">
        <f t="shared" ref="U5:U10" si="0">+(S5-C$7)/C$8</f>
        <v>4553.9460344632698</v>
      </c>
      <c r="V5" s="30">
        <f t="shared" ref="V5:V10" si="1">ROUND(2*U5,0)/2</f>
        <v>4554</v>
      </c>
      <c r="W5" s="30">
        <f t="shared" ref="W5:W10" si="2">+S5-(C$7+V5*C$8)</f>
        <v>-0.15327200001047458</v>
      </c>
    </row>
    <row r="6" spans="1:41" x14ac:dyDescent="0.2">
      <c r="A6" s="5" t="s">
        <v>1</v>
      </c>
      <c r="Q6" s="28" t="s">
        <v>41</v>
      </c>
      <c r="R6" s="29" t="s">
        <v>42</v>
      </c>
      <c r="S6" s="28">
        <v>53653.616419999998</v>
      </c>
      <c r="T6" s="28">
        <v>2.9999999999999997E-4</v>
      </c>
      <c r="U6" s="30">
        <f t="shared" si="0"/>
        <v>4622.0107718411091</v>
      </c>
      <c r="V6" s="30">
        <f t="shared" si="1"/>
        <v>4622</v>
      </c>
      <c r="W6" s="30">
        <f t="shared" si="2"/>
        <v>3.0593999996199273E-2</v>
      </c>
    </row>
    <row r="7" spans="1:41" x14ac:dyDescent="0.2">
      <c r="A7" t="s">
        <v>2</v>
      </c>
      <c r="C7">
        <v>40526.26</v>
      </c>
      <c r="Q7" s="28" t="s">
        <v>41</v>
      </c>
      <c r="R7" s="29" t="s">
        <v>42</v>
      </c>
      <c r="S7" s="28">
        <v>54116.424590000002</v>
      </c>
      <c r="T7" s="28">
        <v>2.0000000000000001E-4</v>
      </c>
      <c r="U7" s="30">
        <f t="shared" si="0"/>
        <v>4784.9608951254195</v>
      </c>
      <c r="V7" s="30">
        <f t="shared" si="1"/>
        <v>4785</v>
      </c>
      <c r="W7" s="30">
        <f t="shared" si="2"/>
        <v>-0.11106499999732478</v>
      </c>
    </row>
    <row r="8" spans="1:41" x14ac:dyDescent="0.2">
      <c r="A8" t="s">
        <v>3</v>
      </c>
      <c r="C8">
        <v>2.8401830000000001</v>
      </c>
      <c r="Q8" s="28" t="s">
        <v>44</v>
      </c>
      <c r="R8" s="29" t="s">
        <v>42</v>
      </c>
      <c r="S8" s="28">
        <v>54683.45205</v>
      </c>
      <c r="T8" s="28">
        <v>2.0000000000000001E-4</v>
      </c>
      <c r="U8" s="30">
        <f t="shared" si="0"/>
        <v>4984.6055870343553</v>
      </c>
      <c r="V8" s="30">
        <f t="shared" si="1"/>
        <v>4984.5</v>
      </c>
      <c r="W8" s="30">
        <f t="shared" si="2"/>
        <v>0.29988649999722838</v>
      </c>
      <c r="AA8" s="30"/>
      <c r="AB8" s="34"/>
      <c r="AC8" s="30"/>
      <c r="AD8" s="30"/>
      <c r="AE8" s="30"/>
      <c r="AF8" s="30"/>
      <c r="AG8" s="30">
        <f>+W8</f>
        <v>0.29988649999722838</v>
      </c>
      <c r="AH8" s="30">
        <f ca="1">+C$11+C$12*V8</f>
        <v>0.12893049599740103</v>
      </c>
      <c r="AI8" s="30"/>
      <c r="AJ8" s="32">
        <f>+S8-15018.5</f>
        <v>39664.95205</v>
      </c>
    </row>
    <row r="9" spans="1:41" x14ac:dyDescent="0.2">
      <c r="A9" s="26" t="s">
        <v>50</v>
      </c>
      <c r="B9" s="27">
        <v>68</v>
      </c>
      <c r="C9" s="15" t="str">
        <f>"F"&amp;B9</f>
        <v>F68</v>
      </c>
      <c r="D9" s="16" t="str">
        <f>"G"&amp;B9</f>
        <v>G68</v>
      </c>
      <c r="Q9" s="28" t="s">
        <v>44</v>
      </c>
      <c r="R9" s="29" t="s">
        <v>42</v>
      </c>
      <c r="S9" s="28">
        <v>54683.452749999997</v>
      </c>
      <c r="T9" s="28">
        <v>8.0000000000000004E-4</v>
      </c>
      <c r="U9" s="30">
        <f t="shared" si="0"/>
        <v>4984.6058334973468</v>
      </c>
      <c r="V9" s="30">
        <f t="shared" si="1"/>
        <v>4984.5</v>
      </c>
      <c r="W9" s="30">
        <f t="shared" si="2"/>
        <v>0.30058649999409681</v>
      </c>
      <c r="AA9" s="30"/>
      <c r="AB9" s="34"/>
      <c r="AC9" s="30"/>
      <c r="AD9" s="30"/>
      <c r="AE9" s="30"/>
      <c r="AF9" s="30"/>
      <c r="AG9" s="30">
        <f>+W9</f>
        <v>0.30058649999409681</v>
      </c>
      <c r="AH9" s="30">
        <f ca="1">+C$11+C$12*V9</f>
        <v>0.12893049599740103</v>
      </c>
      <c r="AI9" s="30"/>
      <c r="AJ9" s="32">
        <f>+S9-15018.5</f>
        <v>39664.952749999997</v>
      </c>
    </row>
    <row r="10" spans="1:41" ht="13.5" thickBot="1" x14ac:dyDescent="0.25">
      <c r="A10" s="11"/>
      <c r="B10" s="11"/>
      <c r="C10" s="4" t="s">
        <v>20</v>
      </c>
      <c r="D10" s="4" t="s">
        <v>21</v>
      </c>
      <c r="E10" s="11"/>
      <c r="Q10" s="28" t="s">
        <v>44</v>
      </c>
      <c r="R10" s="29" t="s">
        <v>42</v>
      </c>
      <c r="S10" s="28">
        <v>54683.453849999998</v>
      </c>
      <c r="T10" s="28">
        <v>4.0000000000000002E-4</v>
      </c>
      <c r="U10" s="30">
        <f t="shared" si="0"/>
        <v>4984.6062207963341</v>
      </c>
      <c r="V10" s="30">
        <f t="shared" si="1"/>
        <v>4984.5</v>
      </c>
      <c r="W10" s="30">
        <f t="shared" si="2"/>
        <v>0.3016864999954123</v>
      </c>
      <c r="AA10" s="30"/>
      <c r="AB10" s="34"/>
      <c r="AC10" s="30"/>
      <c r="AD10" s="30"/>
      <c r="AE10" s="30"/>
      <c r="AF10" s="30"/>
      <c r="AG10" s="30">
        <f>+W10</f>
        <v>0.3016864999954123</v>
      </c>
      <c r="AH10" s="30">
        <f ca="1">+C$11+C$12*V10</f>
        <v>0.12893049599740103</v>
      </c>
      <c r="AI10" s="30"/>
      <c r="AJ10" s="32">
        <f>+S10-15018.5</f>
        <v>39664.953849999998</v>
      </c>
    </row>
    <row r="11" spans="1:41" x14ac:dyDescent="0.2">
      <c r="A11" s="11" t="s">
        <v>16</v>
      </c>
      <c r="B11" s="11"/>
      <c r="C11" s="13">
        <f ca="1">INTERCEPT(INDIRECT($D$9):G986,INDIRECT($C$9):F986)</f>
        <v>-7.5352090677462125E-3</v>
      </c>
      <c r="D11" s="14"/>
      <c r="E11" s="11"/>
    </row>
    <row r="12" spans="1:41" x14ac:dyDescent="0.2">
      <c r="A12" s="11" t="s">
        <v>17</v>
      </c>
      <c r="B12" s="11"/>
      <c r="C12" s="13">
        <f ca="1">SLOPE(INDIRECT($D$9):G986,INDIRECT($C$9):F986)</f>
        <v>2.7378012852873355E-5</v>
      </c>
      <c r="D12" s="14"/>
      <c r="E12" s="11"/>
    </row>
    <row r="13" spans="1:41" x14ac:dyDescent="0.2">
      <c r="A13" s="11" t="s">
        <v>19</v>
      </c>
      <c r="B13" s="11"/>
      <c r="C13" s="14" t="s">
        <v>14</v>
      </c>
    </row>
    <row r="14" spans="1:41" x14ac:dyDescent="0.2">
      <c r="A14" s="11"/>
      <c r="B14" s="11"/>
      <c r="C14" s="11"/>
    </row>
    <row r="15" spans="1:41" x14ac:dyDescent="0.2">
      <c r="A15" s="17" t="s">
        <v>18</v>
      </c>
      <c r="B15" s="11"/>
      <c r="C15" s="18">
        <f ca="1">(C7+C11)+(C8+C12)*INT(MAX(F21:F3527))</f>
        <v>59200.635700225444</v>
      </c>
      <c r="E15" s="19" t="s">
        <v>53</v>
      </c>
      <c r="F15" s="12">
        <v>1</v>
      </c>
    </row>
    <row r="16" spans="1:41" x14ac:dyDescent="0.2">
      <c r="A16" s="21" t="s">
        <v>4</v>
      </c>
      <c r="B16" s="11"/>
      <c r="C16" s="22">
        <f ca="1">+C8+C12</f>
        <v>2.8402103780128529</v>
      </c>
      <c r="E16" s="19" t="s">
        <v>47</v>
      </c>
      <c r="F16" s="20">
        <f ca="1">NOW()+15018.5+$C$5/24</f>
        <v>60163.504145949075</v>
      </c>
    </row>
    <row r="17" spans="1:21" ht="13.5" thickBot="1" x14ac:dyDescent="0.25">
      <c r="A17" s="19" t="s">
        <v>38</v>
      </c>
      <c r="B17" s="11"/>
      <c r="C17" s="11">
        <f>COUNT(C21:C2185)</f>
        <v>55</v>
      </c>
      <c r="E17" s="19" t="s">
        <v>54</v>
      </c>
      <c r="F17" s="20">
        <f ca="1">ROUND(2*(F16-$C$7)/$C$8,0)/2+F15</f>
        <v>6915</v>
      </c>
    </row>
    <row r="18" spans="1:21" ht="14.25" thickTop="1" thickBot="1" x14ac:dyDescent="0.25">
      <c r="A18" s="21" t="s">
        <v>5</v>
      </c>
      <c r="B18" s="11"/>
      <c r="C18" s="24">
        <f ca="1">+C15</f>
        <v>59200.635700225444</v>
      </c>
      <c r="D18" s="25">
        <f ca="1">+C16</f>
        <v>2.8402103780128529</v>
      </c>
      <c r="E18" s="19" t="s">
        <v>48</v>
      </c>
      <c r="F18" s="16">
        <f ca="1">ROUND(2*(F16-$C$15)/$C$16,0)/2+F15</f>
        <v>340</v>
      </c>
    </row>
    <row r="19" spans="1:21" ht="13.5" thickTop="1" x14ac:dyDescent="0.2">
      <c r="E19" s="19" t="s">
        <v>49</v>
      </c>
      <c r="F19" s="23">
        <f ca="1">+$C$15+$C$16*F18-15018.5-$C$5/24</f>
        <v>45148.20306208315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63</v>
      </c>
      <c r="I20" s="7" t="s">
        <v>66</v>
      </c>
      <c r="J20" s="7" t="s">
        <v>60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6" t="s">
        <v>55</v>
      </c>
    </row>
    <row r="21" spans="1:21" ht="12.75" customHeight="1" x14ac:dyDescent="0.2">
      <c r="A21" s="55" t="s">
        <v>73</v>
      </c>
      <c r="B21" s="56" t="s">
        <v>42</v>
      </c>
      <c r="C21" s="55">
        <v>16711.37</v>
      </c>
      <c r="D21" s="55" t="s">
        <v>66</v>
      </c>
      <c r="E21" s="30">
        <f t="shared" ref="E21:E52" si="3">+(C21-C$7)/C$8</f>
        <v>-8384.9843478395596</v>
      </c>
      <c r="F21" s="30">
        <f t="shared" ref="F21:F52" si="4">ROUND(2*E21,0)/2</f>
        <v>-8385</v>
      </c>
      <c r="G21" s="30">
        <f t="shared" ref="G21:G52" si="5">+C21-(C$7+F21*C$8)</f>
        <v>4.4454999999288702E-2</v>
      </c>
      <c r="H21" s="30"/>
      <c r="I21" s="30">
        <f t="shared" ref="I21:I65" si="6">G21</f>
        <v>4.4454999999288702E-2</v>
      </c>
      <c r="J21" s="30"/>
      <c r="K21" s="30"/>
      <c r="L21" s="30"/>
      <c r="M21" s="30"/>
      <c r="N21" s="30"/>
      <c r="O21" s="30"/>
      <c r="P21" s="30"/>
      <c r="Q21" s="32">
        <f t="shared" ref="Q21:Q52" si="7">+C21-15018.5</f>
        <v>1692.869999999999</v>
      </c>
      <c r="R21" s="32"/>
      <c r="S21" s="32"/>
      <c r="T21" s="32"/>
    </row>
    <row r="22" spans="1:21" ht="12.75" customHeight="1" x14ac:dyDescent="0.2">
      <c r="A22" s="55" t="s">
        <v>73</v>
      </c>
      <c r="B22" s="56" t="s">
        <v>42</v>
      </c>
      <c r="C22" s="55">
        <v>17793.437999999998</v>
      </c>
      <c r="D22" s="55" t="s">
        <v>66</v>
      </c>
      <c r="E22" s="30">
        <f t="shared" si="3"/>
        <v>-8003.9990380901518</v>
      </c>
      <c r="F22" s="30">
        <f t="shared" si="4"/>
        <v>-8004</v>
      </c>
      <c r="G22" s="30">
        <f t="shared" si="5"/>
        <v>2.7319999971950892E-3</v>
      </c>
      <c r="H22" s="30"/>
      <c r="I22" s="30">
        <f t="shared" si="6"/>
        <v>2.7319999971950892E-3</v>
      </c>
      <c r="J22" s="30"/>
      <c r="K22" s="30"/>
      <c r="L22" s="30"/>
      <c r="M22" s="30"/>
      <c r="N22" s="30"/>
      <c r="O22" s="30"/>
      <c r="P22" s="30"/>
      <c r="Q22" s="32">
        <f t="shared" si="7"/>
        <v>2774.9379999999983</v>
      </c>
      <c r="R22" s="32"/>
      <c r="S22" s="32"/>
      <c r="T22" s="32"/>
    </row>
    <row r="23" spans="1:21" ht="12.75" customHeight="1" x14ac:dyDescent="0.2">
      <c r="A23" s="55" t="s">
        <v>81</v>
      </c>
      <c r="B23" s="56" t="s">
        <v>42</v>
      </c>
      <c r="C23" s="55">
        <v>28100.420999999998</v>
      </c>
      <c r="D23" s="55" t="s">
        <v>66</v>
      </c>
      <c r="E23" s="30">
        <f t="shared" si="3"/>
        <v>-4375.0135114533123</v>
      </c>
      <c r="F23" s="30">
        <f t="shared" si="4"/>
        <v>-4375</v>
      </c>
      <c r="G23" s="30">
        <f t="shared" si="5"/>
        <v>-3.837500000372529E-2</v>
      </c>
      <c r="H23" s="30"/>
      <c r="I23" s="30">
        <f t="shared" si="6"/>
        <v>-3.837500000372529E-2</v>
      </c>
      <c r="J23" s="30"/>
      <c r="K23" s="30"/>
      <c r="L23" s="30"/>
      <c r="M23" s="30"/>
      <c r="N23" s="30"/>
      <c r="O23" s="30"/>
      <c r="P23" s="30"/>
      <c r="Q23" s="32">
        <f t="shared" si="7"/>
        <v>13081.920999999998</v>
      </c>
      <c r="R23" s="32"/>
      <c r="S23" s="32"/>
      <c r="T23" s="32"/>
    </row>
    <row r="24" spans="1:21" ht="12.75" customHeight="1" x14ac:dyDescent="0.2">
      <c r="A24" s="55" t="s">
        <v>73</v>
      </c>
      <c r="B24" s="56" t="s">
        <v>42</v>
      </c>
      <c r="C24" s="55">
        <v>29165.41</v>
      </c>
      <c r="D24" s="55" t="s">
        <v>66</v>
      </c>
      <c r="E24" s="30">
        <f t="shared" si="3"/>
        <v>-4000.0415466186514</v>
      </c>
      <c r="F24" s="30">
        <f t="shared" si="4"/>
        <v>-4000</v>
      </c>
      <c r="G24" s="30">
        <f t="shared" si="5"/>
        <v>-0.11800000000221189</v>
      </c>
      <c r="H24" s="30"/>
      <c r="I24" s="30">
        <f t="shared" si="6"/>
        <v>-0.11800000000221189</v>
      </c>
      <c r="J24" s="30"/>
      <c r="K24" s="30"/>
      <c r="L24" s="30"/>
      <c r="M24" s="30"/>
      <c r="N24" s="30"/>
      <c r="O24" s="30"/>
      <c r="P24" s="30"/>
      <c r="Q24" s="32">
        <f t="shared" si="7"/>
        <v>14146.91</v>
      </c>
      <c r="R24" s="32"/>
      <c r="S24" s="32"/>
      <c r="T24" s="32"/>
    </row>
    <row r="25" spans="1:21" ht="12.75" customHeight="1" x14ac:dyDescent="0.2">
      <c r="A25" s="55" t="s">
        <v>73</v>
      </c>
      <c r="B25" s="56" t="s">
        <v>37</v>
      </c>
      <c r="C25" s="55">
        <v>29462.26</v>
      </c>
      <c r="D25" s="55" t="s">
        <v>66</v>
      </c>
      <c r="E25" s="30">
        <f t="shared" si="3"/>
        <v>-3895.5236335123486</v>
      </c>
      <c r="F25" s="30">
        <f t="shared" si="4"/>
        <v>-3895.5</v>
      </c>
      <c r="G25" s="30">
        <f t="shared" si="5"/>
        <v>-6.712350000088918E-2</v>
      </c>
      <c r="H25" s="30"/>
      <c r="I25" s="30">
        <f t="shared" si="6"/>
        <v>-6.712350000088918E-2</v>
      </c>
      <c r="J25" s="30"/>
      <c r="K25" s="30"/>
      <c r="L25" s="30"/>
      <c r="M25" s="30"/>
      <c r="N25" s="30"/>
      <c r="O25" s="30"/>
      <c r="P25" s="30"/>
      <c r="Q25" s="32">
        <f t="shared" si="7"/>
        <v>14443.759999999998</v>
      </c>
      <c r="R25" s="32"/>
      <c r="S25" s="32"/>
      <c r="T25" s="32"/>
    </row>
    <row r="26" spans="1:21" ht="12.75" customHeight="1" x14ac:dyDescent="0.2">
      <c r="A26" s="55" t="s">
        <v>73</v>
      </c>
      <c r="B26" s="56" t="s">
        <v>42</v>
      </c>
      <c r="C26" s="55">
        <v>29486.46</v>
      </c>
      <c r="D26" s="55" t="s">
        <v>66</v>
      </c>
      <c r="E26" s="30">
        <f t="shared" si="3"/>
        <v>-3887.0030557890118</v>
      </c>
      <c r="F26" s="30">
        <f t="shared" si="4"/>
        <v>-3887</v>
      </c>
      <c r="G26" s="30">
        <f t="shared" si="5"/>
        <v>-8.6790000023029279E-3</v>
      </c>
      <c r="H26" s="30"/>
      <c r="I26" s="30">
        <f t="shared" si="6"/>
        <v>-8.6790000023029279E-3</v>
      </c>
      <c r="J26" s="30"/>
      <c r="K26" s="30"/>
      <c r="L26" s="30"/>
      <c r="M26" s="30"/>
      <c r="N26" s="30"/>
      <c r="O26" s="30"/>
      <c r="P26" s="30"/>
      <c r="Q26" s="32">
        <f t="shared" si="7"/>
        <v>14467.96</v>
      </c>
      <c r="R26" s="32"/>
      <c r="S26" s="32"/>
      <c r="T26" s="32"/>
    </row>
    <row r="27" spans="1:21" ht="12.75" customHeight="1" x14ac:dyDescent="0.2">
      <c r="A27" s="55" t="s">
        <v>95</v>
      </c>
      <c r="B27" s="56" t="s">
        <v>42</v>
      </c>
      <c r="C27" s="55">
        <v>30321.439999999999</v>
      </c>
      <c r="D27" s="55" t="s">
        <v>66</v>
      </c>
      <c r="E27" s="30">
        <f t="shared" si="3"/>
        <v>-3593.0149571348052</v>
      </c>
      <c r="F27" s="30">
        <f t="shared" si="4"/>
        <v>-3593</v>
      </c>
      <c r="G27" s="30">
        <f t="shared" si="5"/>
        <v>-4.2481000000407221E-2</v>
      </c>
      <c r="H27" s="30"/>
      <c r="I27" s="30">
        <f t="shared" si="6"/>
        <v>-4.2481000000407221E-2</v>
      </c>
      <c r="J27" s="30"/>
      <c r="K27" s="30"/>
      <c r="L27" s="30"/>
      <c r="M27" s="30"/>
      <c r="N27" s="30"/>
      <c r="O27" s="30"/>
      <c r="P27" s="30"/>
      <c r="Q27" s="32">
        <f t="shared" si="7"/>
        <v>15302.939999999999</v>
      </c>
      <c r="R27" s="32"/>
      <c r="S27" s="32"/>
      <c r="T27" s="32"/>
    </row>
    <row r="28" spans="1:21" ht="12.75" customHeight="1" x14ac:dyDescent="0.2">
      <c r="A28" s="55" t="s">
        <v>81</v>
      </c>
      <c r="B28" s="56" t="s">
        <v>42</v>
      </c>
      <c r="C28" s="55">
        <v>30940.59</v>
      </c>
      <c r="D28" s="55" t="s">
        <v>66</v>
      </c>
      <c r="E28" s="30">
        <f t="shared" si="3"/>
        <v>-3375.0184407131519</v>
      </c>
      <c r="F28" s="30">
        <f t="shared" si="4"/>
        <v>-3375</v>
      </c>
      <c r="G28" s="30">
        <f t="shared" si="5"/>
        <v>-5.2375000002939487E-2</v>
      </c>
      <c r="H28" s="30"/>
      <c r="I28" s="30">
        <f t="shared" si="6"/>
        <v>-5.2375000002939487E-2</v>
      </c>
      <c r="J28" s="30"/>
      <c r="K28" s="30"/>
      <c r="L28" s="30"/>
      <c r="M28" s="30"/>
      <c r="N28" s="30"/>
      <c r="O28" s="30"/>
      <c r="P28" s="30"/>
      <c r="Q28" s="32">
        <f t="shared" si="7"/>
        <v>15922.09</v>
      </c>
      <c r="R28" s="32"/>
      <c r="S28" s="32"/>
      <c r="T28" s="32"/>
    </row>
    <row r="29" spans="1:21" ht="12.75" customHeight="1" x14ac:dyDescent="0.2">
      <c r="A29" s="55" t="s">
        <v>95</v>
      </c>
      <c r="B29" s="56" t="s">
        <v>42</v>
      </c>
      <c r="C29" s="55">
        <v>31443.330999999998</v>
      </c>
      <c r="D29" s="55" t="s">
        <v>66</v>
      </c>
      <c r="E29" s="30">
        <f t="shared" si="3"/>
        <v>-3198.0083677706693</v>
      </c>
      <c r="F29" s="30">
        <f t="shared" si="4"/>
        <v>-3198</v>
      </c>
      <c r="G29" s="30">
        <f t="shared" si="5"/>
        <v>-2.376600000570761E-2</v>
      </c>
      <c r="H29" s="30"/>
      <c r="I29" s="30">
        <f t="shared" si="6"/>
        <v>-2.376600000570761E-2</v>
      </c>
      <c r="J29" s="30"/>
      <c r="K29" s="30"/>
      <c r="L29" s="30"/>
      <c r="M29" s="30"/>
      <c r="N29" s="30"/>
      <c r="O29" s="30"/>
      <c r="P29" s="30"/>
      <c r="Q29" s="32">
        <f t="shared" si="7"/>
        <v>16424.830999999998</v>
      </c>
      <c r="R29" s="32"/>
      <c r="S29" s="32"/>
      <c r="T29" s="32"/>
    </row>
    <row r="30" spans="1:21" ht="12.75" customHeight="1" x14ac:dyDescent="0.2">
      <c r="A30" s="55" t="s">
        <v>73</v>
      </c>
      <c r="B30" s="56" t="s">
        <v>42</v>
      </c>
      <c r="C30" s="55">
        <v>33329.18</v>
      </c>
      <c r="D30" s="55" t="s">
        <v>66</v>
      </c>
      <c r="E30" s="30">
        <f t="shared" si="3"/>
        <v>-2534.019814920377</v>
      </c>
      <c r="F30" s="30">
        <f t="shared" si="4"/>
        <v>-2534</v>
      </c>
      <c r="G30" s="30">
        <f t="shared" si="5"/>
        <v>-5.6278000003658235E-2</v>
      </c>
      <c r="H30" s="30"/>
      <c r="I30" s="30">
        <f t="shared" si="6"/>
        <v>-5.6278000003658235E-2</v>
      </c>
      <c r="J30" s="30"/>
      <c r="K30" s="30"/>
      <c r="L30" s="30"/>
      <c r="M30" s="30"/>
      <c r="N30" s="30"/>
      <c r="O30" s="30"/>
      <c r="P30" s="30"/>
      <c r="Q30" s="32">
        <f t="shared" si="7"/>
        <v>18310.68</v>
      </c>
      <c r="R30" s="32"/>
      <c r="S30" s="32"/>
      <c r="T30" s="32"/>
    </row>
    <row r="31" spans="1:21" ht="12.75" customHeight="1" x14ac:dyDescent="0.2">
      <c r="A31" s="55" t="s">
        <v>73</v>
      </c>
      <c r="B31" s="56" t="s">
        <v>42</v>
      </c>
      <c r="C31" s="55">
        <v>33357.538999999997</v>
      </c>
      <c r="D31" s="55" t="s">
        <v>66</v>
      </c>
      <c r="E31" s="30">
        <f t="shared" si="3"/>
        <v>-2524.0348949345885</v>
      </c>
      <c r="F31" s="30">
        <f t="shared" si="4"/>
        <v>-2524</v>
      </c>
      <c r="G31" s="30">
        <f t="shared" si="5"/>
        <v>-9.9108000002161134E-2</v>
      </c>
      <c r="H31" s="30"/>
      <c r="I31" s="30">
        <f t="shared" si="6"/>
        <v>-9.9108000002161134E-2</v>
      </c>
      <c r="J31" s="30"/>
      <c r="K31" s="30"/>
      <c r="L31" s="30"/>
      <c r="M31" s="30"/>
      <c r="N31" s="30"/>
      <c r="O31" s="30"/>
      <c r="P31" s="30"/>
      <c r="Q31" s="32">
        <f t="shared" si="7"/>
        <v>18339.038999999997</v>
      </c>
      <c r="R31" s="32"/>
      <c r="S31" s="32"/>
      <c r="T31" s="32"/>
    </row>
    <row r="32" spans="1:21" ht="12.75" customHeight="1" x14ac:dyDescent="0.2">
      <c r="A32" s="55" t="s">
        <v>95</v>
      </c>
      <c r="B32" s="56" t="s">
        <v>42</v>
      </c>
      <c r="C32" s="55">
        <v>33925.544000000002</v>
      </c>
      <c r="D32" s="55" t="s">
        <v>66</v>
      </c>
      <c r="E32" s="30">
        <f t="shared" si="3"/>
        <v>-2324.0460209782259</v>
      </c>
      <c r="F32" s="30">
        <f t="shared" si="4"/>
        <v>-2324</v>
      </c>
      <c r="G32" s="30">
        <f t="shared" si="5"/>
        <v>-0.13070799999695737</v>
      </c>
      <c r="H32" s="30"/>
      <c r="I32" s="30">
        <f t="shared" si="6"/>
        <v>-0.13070799999695737</v>
      </c>
      <c r="J32" s="30"/>
      <c r="K32" s="30"/>
      <c r="L32" s="30"/>
      <c r="M32" s="30"/>
      <c r="N32" s="30"/>
      <c r="O32" s="30"/>
      <c r="P32" s="30"/>
      <c r="Q32" s="32">
        <f t="shared" si="7"/>
        <v>18907.044000000002</v>
      </c>
      <c r="R32" s="32"/>
      <c r="S32" s="32"/>
      <c r="T32" s="32"/>
    </row>
    <row r="33" spans="1:20" ht="12.75" customHeight="1" x14ac:dyDescent="0.2">
      <c r="A33" s="55" t="s">
        <v>95</v>
      </c>
      <c r="B33" s="56" t="s">
        <v>42</v>
      </c>
      <c r="C33" s="55">
        <v>34121.54</v>
      </c>
      <c r="D33" s="55" t="s">
        <v>66</v>
      </c>
      <c r="E33" s="30">
        <f t="shared" si="3"/>
        <v>-2255.0377915789231</v>
      </c>
      <c r="F33" s="30">
        <f t="shared" si="4"/>
        <v>-2255</v>
      </c>
      <c r="G33" s="30">
        <f t="shared" si="5"/>
        <v>-0.10733500000060303</v>
      </c>
      <c r="H33" s="30"/>
      <c r="I33" s="30">
        <f t="shared" si="6"/>
        <v>-0.10733500000060303</v>
      </c>
      <c r="J33" s="30"/>
      <c r="K33" s="30"/>
      <c r="L33" s="30"/>
      <c r="M33" s="30"/>
      <c r="N33" s="30"/>
      <c r="O33" s="30"/>
      <c r="P33" s="30"/>
      <c r="Q33" s="32">
        <f t="shared" si="7"/>
        <v>19103.04</v>
      </c>
      <c r="R33" s="32"/>
      <c r="S33" s="32"/>
      <c r="T33" s="32"/>
    </row>
    <row r="34" spans="1:20" ht="12.75" customHeight="1" x14ac:dyDescent="0.2">
      <c r="A34" s="55" t="s">
        <v>95</v>
      </c>
      <c r="B34" s="56" t="s">
        <v>42</v>
      </c>
      <c r="C34" s="55">
        <v>35223.491999999998</v>
      </c>
      <c r="D34" s="55" t="s">
        <v>66</v>
      </c>
      <c r="E34" s="30">
        <f t="shared" si="3"/>
        <v>-1867.0515244968383</v>
      </c>
      <c r="F34" s="30">
        <f t="shared" si="4"/>
        <v>-1867</v>
      </c>
      <c r="G34" s="30">
        <f t="shared" si="5"/>
        <v>-0.14633900000626454</v>
      </c>
      <c r="H34" s="30"/>
      <c r="I34" s="30">
        <f t="shared" si="6"/>
        <v>-0.14633900000626454</v>
      </c>
      <c r="J34" s="30"/>
      <c r="K34" s="30"/>
      <c r="L34" s="30"/>
      <c r="M34" s="30"/>
      <c r="N34" s="30"/>
      <c r="O34" s="30"/>
      <c r="P34" s="30"/>
      <c r="Q34" s="32">
        <f t="shared" si="7"/>
        <v>20204.991999999998</v>
      </c>
      <c r="R34" s="32"/>
      <c r="S34" s="32"/>
      <c r="T34" s="32"/>
    </row>
    <row r="35" spans="1:20" ht="12.75" customHeight="1" x14ac:dyDescent="0.2">
      <c r="A35" s="55" t="s">
        <v>95</v>
      </c>
      <c r="B35" s="56" t="s">
        <v>42</v>
      </c>
      <c r="C35" s="55">
        <v>35757.527999999998</v>
      </c>
      <c r="D35" s="55" t="s">
        <v>66</v>
      </c>
      <c r="E35" s="30">
        <f t="shared" si="3"/>
        <v>-1679.0227953621311</v>
      </c>
      <c r="F35" s="30">
        <f t="shared" si="4"/>
        <v>-1679</v>
      </c>
      <c r="G35" s="30">
        <f t="shared" si="5"/>
        <v>-6.4743000002636109E-2</v>
      </c>
      <c r="H35" s="30"/>
      <c r="I35" s="30">
        <f t="shared" si="6"/>
        <v>-6.4743000002636109E-2</v>
      </c>
      <c r="J35" s="30"/>
      <c r="K35" s="30"/>
      <c r="L35" s="30"/>
      <c r="M35" s="30"/>
      <c r="N35" s="30"/>
      <c r="O35" s="30"/>
      <c r="P35" s="30"/>
      <c r="Q35" s="32">
        <f t="shared" si="7"/>
        <v>20739.027999999998</v>
      </c>
      <c r="R35" s="32"/>
      <c r="S35" s="32"/>
      <c r="T35" s="32"/>
    </row>
    <row r="36" spans="1:20" ht="12.75" customHeight="1" x14ac:dyDescent="0.2">
      <c r="A36" s="55" t="s">
        <v>95</v>
      </c>
      <c r="B36" s="56" t="s">
        <v>42</v>
      </c>
      <c r="C36" s="55">
        <v>35814.322</v>
      </c>
      <c r="D36" s="55" t="s">
        <v>66</v>
      </c>
      <c r="E36" s="30">
        <f t="shared" si="3"/>
        <v>-1659.0261965514201</v>
      </c>
      <c r="F36" s="30">
        <f t="shared" si="4"/>
        <v>-1659</v>
      </c>
      <c r="G36" s="30">
        <f t="shared" si="5"/>
        <v>-7.4402999998710584E-2</v>
      </c>
      <c r="H36" s="30"/>
      <c r="I36" s="30">
        <f t="shared" si="6"/>
        <v>-7.4402999998710584E-2</v>
      </c>
      <c r="J36" s="30"/>
      <c r="K36" s="30"/>
      <c r="L36" s="30"/>
      <c r="M36" s="30"/>
      <c r="N36" s="30"/>
      <c r="O36" s="30"/>
      <c r="P36" s="30"/>
      <c r="Q36" s="32">
        <f t="shared" si="7"/>
        <v>20795.822</v>
      </c>
      <c r="R36" s="32"/>
      <c r="S36" s="32"/>
      <c r="T36" s="32"/>
    </row>
    <row r="37" spans="1:20" ht="12.75" customHeight="1" x14ac:dyDescent="0.2">
      <c r="A37" s="55" t="s">
        <v>95</v>
      </c>
      <c r="B37" s="56" t="s">
        <v>42</v>
      </c>
      <c r="C37" s="55">
        <v>36541.355000000003</v>
      </c>
      <c r="D37" s="55" t="s">
        <v>66</v>
      </c>
      <c r="E37" s="30">
        <f t="shared" si="3"/>
        <v>-1403.0451558931234</v>
      </c>
      <c r="F37" s="30">
        <f t="shared" si="4"/>
        <v>-1403</v>
      </c>
      <c r="G37" s="30">
        <f t="shared" si="5"/>
        <v>-0.12825100000191014</v>
      </c>
      <c r="H37" s="30"/>
      <c r="I37" s="30">
        <f t="shared" si="6"/>
        <v>-0.12825100000191014</v>
      </c>
      <c r="J37" s="30"/>
      <c r="K37" s="30"/>
      <c r="L37" s="30"/>
      <c r="M37" s="30"/>
      <c r="N37" s="30"/>
      <c r="O37" s="30"/>
      <c r="P37" s="30"/>
      <c r="Q37" s="32">
        <f t="shared" si="7"/>
        <v>21522.855000000003</v>
      </c>
      <c r="R37" s="32"/>
      <c r="S37" s="32"/>
      <c r="T37" s="32"/>
    </row>
    <row r="38" spans="1:20" ht="12.75" customHeight="1" x14ac:dyDescent="0.2">
      <c r="A38" s="55" t="s">
        <v>95</v>
      </c>
      <c r="B38" s="56" t="s">
        <v>42</v>
      </c>
      <c r="C38" s="55">
        <v>36598.26</v>
      </c>
      <c r="D38" s="55" t="s">
        <v>66</v>
      </c>
      <c r="E38" s="30">
        <f t="shared" si="3"/>
        <v>-1383.0094750936823</v>
      </c>
      <c r="F38" s="30">
        <f t="shared" si="4"/>
        <v>-1383</v>
      </c>
      <c r="G38" s="30">
        <f t="shared" si="5"/>
        <v>-2.6911000000836793E-2</v>
      </c>
      <c r="H38" s="30"/>
      <c r="I38" s="30">
        <f t="shared" si="6"/>
        <v>-2.6911000000836793E-2</v>
      </c>
      <c r="J38" s="30"/>
      <c r="K38" s="30"/>
      <c r="L38" s="30"/>
      <c r="M38" s="30"/>
      <c r="N38" s="30"/>
      <c r="O38" s="30"/>
      <c r="P38" s="30"/>
      <c r="Q38" s="32">
        <f t="shared" si="7"/>
        <v>21579.760000000002</v>
      </c>
      <c r="R38" s="32"/>
      <c r="S38" s="32"/>
      <c r="T38" s="32"/>
    </row>
    <row r="39" spans="1:20" ht="12.75" customHeight="1" x14ac:dyDescent="0.2">
      <c r="A39" s="55" t="s">
        <v>95</v>
      </c>
      <c r="B39" s="56" t="s">
        <v>37</v>
      </c>
      <c r="C39" s="55">
        <v>36815.552000000003</v>
      </c>
      <c r="D39" s="55" t="s">
        <v>66</v>
      </c>
      <c r="E39" s="30">
        <f t="shared" si="3"/>
        <v>-1306.5031372978426</v>
      </c>
      <c r="F39" s="30">
        <f t="shared" si="4"/>
        <v>-1306.5</v>
      </c>
      <c r="G39" s="30">
        <f t="shared" si="5"/>
        <v>-8.9105000006384216E-3</v>
      </c>
      <c r="H39" s="30"/>
      <c r="I39" s="30">
        <f t="shared" si="6"/>
        <v>-8.9105000006384216E-3</v>
      </c>
      <c r="J39" s="30"/>
      <c r="K39" s="30"/>
      <c r="L39" s="30"/>
      <c r="M39" s="30"/>
      <c r="N39" s="30"/>
      <c r="O39" s="30"/>
      <c r="P39" s="30"/>
      <c r="Q39" s="32">
        <f t="shared" si="7"/>
        <v>21797.052000000003</v>
      </c>
      <c r="R39" s="32"/>
      <c r="S39" s="32"/>
      <c r="T39" s="32"/>
    </row>
    <row r="40" spans="1:20" ht="12.75" customHeight="1" x14ac:dyDescent="0.2">
      <c r="A40" s="55" t="s">
        <v>95</v>
      </c>
      <c r="B40" s="56" t="s">
        <v>37</v>
      </c>
      <c r="C40" s="55">
        <v>37082.451999999997</v>
      </c>
      <c r="D40" s="55" t="s">
        <v>66</v>
      </c>
      <c r="E40" s="30">
        <f t="shared" si="3"/>
        <v>-1212.530319349142</v>
      </c>
      <c r="F40" s="30">
        <f t="shared" si="4"/>
        <v>-1212.5</v>
      </c>
      <c r="G40" s="30">
        <f t="shared" si="5"/>
        <v>-8.6112500001036096E-2</v>
      </c>
      <c r="H40" s="30"/>
      <c r="I40" s="30">
        <f t="shared" si="6"/>
        <v>-8.6112500001036096E-2</v>
      </c>
      <c r="J40" s="30"/>
      <c r="K40" s="30"/>
      <c r="L40" s="30"/>
      <c r="M40" s="30"/>
      <c r="N40" s="30"/>
      <c r="O40" s="30"/>
      <c r="P40" s="30"/>
      <c r="Q40" s="32">
        <f t="shared" si="7"/>
        <v>22063.951999999997</v>
      </c>
      <c r="R40" s="32"/>
      <c r="S40" s="32"/>
      <c r="T40" s="32"/>
    </row>
    <row r="41" spans="1:20" ht="12.75" customHeight="1" x14ac:dyDescent="0.2">
      <c r="A41" s="55" t="s">
        <v>95</v>
      </c>
      <c r="B41" s="56" t="s">
        <v>37</v>
      </c>
      <c r="C41" s="55">
        <v>37349.451999999997</v>
      </c>
      <c r="D41" s="55" t="s">
        <v>66</v>
      </c>
      <c r="E41" s="30">
        <f t="shared" si="3"/>
        <v>-1118.5222924015827</v>
      </c>
      <c r="F41" s="30">
        <f t="shared" si="4"/>
        <v>-1118.5</v>
      </c>
      <c r="G41" s="30">
        <f t="shared" si="5"/>
        <v>-6.3314500002888963E-2</v>
      </c>
      <c r="H41" s="30"/>
      <c r="I41" s="30">
        <f t="shared" si="6"/>
        <v>-6.3314500002888963E-2</v>
      </c>
      <c r="J41" s="30"/>
      <c r="K41" s="30"/>
      <c r="L41" s="30"/>
      <c r="M41" s="30"/>
      <c r="N41" s="30"/>
      <c r="O41" s="30"/>
      <c r="P41" s="30"/>
      <c r="Q41" s="32">
        <f t="shared" si="7"/>
        <v>22330.951999999997</v>
      </c>
      <c r="R41" s="32"/>
      <c r="S41" s="32"/>
      <c r="T41" s="32"/>
    </row>
    <row r="42" spans="1:20" ht="12.75" customHeight="1" x14ac:dyDescent="0.2">
      <c r="A42" s="55" t="s">
        <v>95</v>
      </c>
      <c r="B42" s="56" t="s">
        <v>42</v>
      </c>
      <c r="C42" s="55">
        <v>37944.51</v>
      </c>
      <c r="D42" s="55" t="s">
        <v>66</v>
      </c>
      <c r="E42" s="30">
        <f t="shared" si="3"/>
        <v>-909.0083279844996</v>
      </c>
      <c r="F42" s="30">
        <f t="shared" si="4"/>
        <v>-909</v>
      </c>
      <c r="G42" s="30">
        <f t="shared" si="5"/>
        <v>-2.36529999965569E-2</v>
      </c>
      <c r="H42" s="30"/>
      <c r="I42" s="30">
        <f t="shared" si="6"/>
        <v>-2.36529999965569E-2</v>
      </c>
      <c r="J42" s="30"/>
      <c r="K42" s="30"/>
      <c r="L42" s="30"/>
      <c r="M42" s="30"/>
      <c r="N42" s="30"/>
      <c r="O42" s="30"/>
      <c r="P42" s="30"/>
      <c r="Q42" s="32">
        <f t="shared" si="7"/>
        <v>22926.010000000002</v>
      </c>
      <c r="R42" s="32"/>
      <c r="S42" s="32"/>
      <c r="T42" s="32"/>
    </row>
    <row r="43" spans="1:20" ht="12.75" customHeight="1" x14ac:dyDescent="0.2">
      <c r="A43" s="55" t="s">
        <v>95</v>
      </c>
      <c r="B43" s="56" t="s">
        <v>42</v>
      </c>
      <c r="C43" s="55">
        <v>38373.381999999998</v>
      </c>
      <c r="D43" s="55" t="s">
        <v>66</v>
      </c>
      <c r="E43" s="30">
        <f t="shared" si="3"/>
        <v>-758.00679040752095</v>
      </c>
      <c r="F43" s="30">
        <f t="shared" si="4"/>
        <v>-758</v>
      </c>
      <c r="G43" s="30">
        <f t="shared" si="5"/>
        <v>-1.9286000002466608E-2</v>
      </c>
      <c r="H43" s="30"/>
      <c r="I43" s="30">
        <f t="shared" si="6"/>
        <v>-1.9286000002466608E-2</v>
      </c>
      <c r="J43" s="30"/>
      <c r="K43" s="30"/>
      <c r="L43" s="30"/>
      <c r="M43" s="30"/>
      <c r="N43" s="30"/>
      <c r="O43" s="30"/>
      <c r="P43" s="30"/>
      <c r="Q43" s="32">
        <f t="shared" si="7"/>
        <v>23354.881999999998</v>
      </c>
      <c r="R43" s="32"/>
      <c r="S43" s="32"/>
      <c r="T43" s="32"/>
    </row>
    <row r="44" spans="1:20" ht="12.75" customHeight="1" x14ac:dyDescent="0.2">
      <c r="A44" s="55" t="s">
        <v>95</v>
      </c>
      <c r="B44" s="56" t="s">
        <v>42</v>
      </c>
      <c r="C44" s="55">
        <v>38410.343999999997</v>
      </c>
      <c r="D44" s="55" t="s">
        <v>66</v>
      </c>
      <c r="E44" s="30">
        <f t="shared" si="3"/>
        <v>-744.9928402500841</v>
      </c>
      <c r="F44" s="30">
        <f t="shared" si="4"/>
        <v>-745</v>
      </c>
      <c r="G44" s="30">
        <f t="shared" si="5"/>
        <v>2.0334999993792735E-2</v>
      </c>
      <c r="H44" s="30"/>
      <c r="I44" s="30">
        <f t="shared" si="6"/>
        <v>2.0334999993792735E-2</v>
      </c>
      <c r="J44" s="30"/>
      <c r="K44" s="30"/>
      <c r="L44" s="30"/>
      <c r="M44" s="30"/>
      <c r="N44" s="30"/>
      <c r="O44" s="30"/>
      <c r="P44" s="30"/>
      <c r="Q44" s="32">
        <f t="shared" si="7"/>
        <v>23391.843999999997</v>
      </c>
      <c r="R44" s="32"/>
      <c r="S44" s="32"/>
      <c r="T44" s="32"/>
    </row>
    <row r="45" spans="1:20" ht="12.75" customHeight="1" x14ac:dyDescent="0.2">
      <c r="A45" s="55" t="s">
        <v>95</v>
      </c>
      <c r="B45" s="56" t="s">
        <v>42</v>
      </c>
      <c r="C45" s="55">
        <v>39029.461000000003</v>
      </c>
      <c r="D45" s="55" t="s">
        <v>66</v>
      </c>
      <c r="E45" s="30">
        <f t="shared" si="3"/>
        <v>-527.00794279805177</v>
      </c>
      <c r="F45" s="30">
        <f t="shared" si="4"/>
        <v>-527</v>
      </c>
      <c r="G45" s="30">
        <f t="shared" si="5"/>
        <v>-2.2558999997272622E-2</v>
      </c>
      <c r="H45" s="30"/>
      <c r="I45" s="30">
        <f t="shared" si="6"/>
        <v>-2.2558999997272622E-2</v>
      </c>
      <c r="J45" s="30"/>
      <c r="K45" s="30"/>
      <c r="L45" s="30"/>
      <c r="M45" s="30"/>
      <c r="N45" s="30"/>
      <c r="O45" s="30"/>
      <c r="P45" s="30"/>
      <c r="Q45" s="32">
        <f t="shared" si="7"/>
        <v>24010.961000000003</v>
      </c>
      <c r="R45" s="32"/>
      <c r="S45" s="32"/>
      <c r="T45" s="32"/>
    </row>
    <row r="46" spans="1:20" ht="12.75" customHeight="1" x14ac:dyDescent="0.2">
      <c r="A46" s="55" t="s">
        <v>95</v>
      </c>
      <c r="B46" s="56" t="s">
        <v>37</v>
      </c>
      <c r="C46" s="55">
        <v>39056.451000000001</v>
      </c>
      <c r="D46" s="55" t="s">
        <v>66</v>
      </c>
      <c r="E46" s="30">
        <f t="shared" si="3"/>
        <v>-517.50503400661194</v>
      </c>
      <c r="F46" s="30">
        <f t="shared" si="4"/>
        <v>-517.5</v>
      </c>
      <c r="G46" s="30">
        <f t="shared" si="5"/>
        <v>-1.4297499998065177E-2</v>
      </c>
      <c r="H46" s="30"/>
      <c r="I46" s="30">
        <f t="shared" si="6"/>
        <v>-1.4297499998065177E-2</v>
      </c>
      <c r="J46" s="30"/>
      <c r="K46" s="30"/>
      <c r="L46" s="30"/>
      <c r="M46" s="30"/>
      <c r="N46" s="30"/>
      <c r="O46" s="30"/>
      <c r="P46" s="30"/>
      <c r="Q46" s="32">
        <f t="shared" si="7"/>
        <v>24037.951000000001</v>
      </c>
      <c r="R46" s="32"/>
      <c r="S46" s="32"/>
      <c r="T46" s="32"/>
    </row>
    <row r="47" spans="1:20" ht="12.75" customHeight="1" x14ac:dyDescent="0.2">
      <c r="A47" s="55" t="s">
        <v>95</v>
      </c>
      <c r="B47" s="56" t="s">
        <v>42</v>
      </c>
      <c r="C47" s="55">
        <v>39330.500999999997</v>
      </c>
      <c r="D47" s="55" t="s">
        <v>66</v>
      </c>
      <c r="E47" s="30">
        <f t="shared" si="3"/>
        <v>-421.01477263965222</v>
      </c>
      <c r="F47" s="30">
        <f t="shared" si="4"/>
        <v>-421</v>
      </c>
      <c r="G47" s="30">
        <f t="shared" si="5"/>
        <v>-4.1957000008551404E-2</v>
      </c>
      <c r="H47" s="30"/>
      <c r="I47" s="30">
        <f t="shared" si="6"/>
        <v>-4.1957000008551404E-2</v>
      </c>
      <c r="J47" s="30"/>
      <c r="K47" s="30"/>
      <c r="L47" s="30"/>
      <c r="M47" s="30"/>
      <c r="N47" s="30"/>
      <c r="O47" s="30"/>
      <c r="P47" s="30"/>
      <c r="Q47" s="32">
        <f t="shared" si="7"/>
        <v>24312.000999999997</v>
      </c>
      <c r="R47" s="32"/>
      <c r="S47" s="32"/>
      <c r="T47" s="32"/>
    </row>
    <row r="48" spans="1:20" ht="12.75" customHeight="1" x14ac:dyDescent="0.2">
      <c r="A48" s="55" t="s">
        <v>95</v>
      </c>
      <c r="B48" s="56" t="s">
        <v>37</v>
      </c>
      <c r="C48" s="55">
        <v>39800.565000000002</v>
      </c>
      <c r="D48" s="55" t="s">
        <v>66</v>
      </c>
      <c r="E48" s="30">
        <f t="shared" si="3"/>
        <v>-255.50994425359201</v>
      </c>
      <c r="F48" s="30">
        <f t="shared" si="4"/>
        <v>-255.5</v>
      </c>
      <c r="G48" s="30">
        <f t="shared" si="5"/>
        <v>-2.8243499997188337E-2</v>
      </c>
      <c r="H48" s="30"/>
      <c r="I48" s="30">
        <f t="shared" si="6"/>
        <v>-2.8243499997188337E-2</v>
      </c>
      <c r="J48" s="30"/>
      <c r="K48" s="30"/>
      <c r="L48" s="30"/>
      <c r="M48" s="30"/>
      <c r="N48" s="30"/>
      <c r="O48" s="30"/>
      <c r="P48" s="30"/>
      <c r="Q48" s="32">
        <f t="shared" si="7"/>
        <v>24782.065000000002</v>
      </c>
      <c r="R48" s="32"/>
      <c r="S48" s="32"/>
      <c r="T48" s="32"/>
    </row>
    <row r="49" spans="1:35" ht="12.75" customHeight="1" x14ac:dyDescent="0.2">
      <c r="A49" s="55" t="s">
        <v>95</v>
      </c>
      <c r="B49" s="56" t="s">
        <v>42</v>
      </c>
      <c r="C49" s="55">
        <v>40148.446000000004</v>
      </c>
      <c r="D49" s="55" t="s">
        <v>66</v>
      </c>
      <c r="E49" s="30">
        <f t="shared" si="3"/>
        <v>-133.02452694069308</v>
      </c>
      <c r="F49" s="30">
        <f t="shared" si="4"/>
        <v>-133</v>
      </c>
      <c r="G49" s="30">
        <f t="shared" si="5"/>
        <v>-6.9661000001360662E-2</v>
      </c>
      <c r="H49" s="30"/>
      <c r="I49" s="30">
        <f t="shared" si="6"/>
        <v>-6.9661000001360662E-2</v>
      </c>
      <c r="J49" s="30"/>
      <c r="K49" s="30"/>
      <c r="L49" s="30"/>
      <c r="M49" s="30"/>
      <c r="N49" s="30"/>
      <c r="O49" s="30"/>
      <c r="P49" s="30"/>
      <c r="Q49" s="32">
        <f t="shared" si="7"/>
        <v>25129.946000000004</v>
      </c>
      <c r="R49" s="32"/>
      <c r="S49" s="32"/>
      <c r="T49" s="32"/>
    </row>
    <row r="50" spans="1:35" ht="12.75" customHeight="1" x14ac:dyDescent="0.2">
      <c r="A50" s="55" t="s">
        <v>95</v>
      </c>
      <c r="B50" s="56" t="s">
        <v>37</v>
      </c>
      <c r="C50" s="55">
        <v>40232.319000000003</v>
      </c>
      <c r="D50" s="55" t="s">
        <v>66</v>
      </c>
      <c r="E50" s="30">
        <f t="shared" si="3"/>
        <v>-103.49368332955972</v>
      </c>
      <c r="F50" s="30">
        <f t="shared" si="4"/>
        <v>-103.5</v>
      </c>
      <c r="G50" s="30">
        <f t="shared" si="5"/>
        <v>1.7940500001714099E-2</v>
      </c>
      <c r="H50" s="30"/>
      <c r="I50" s="30">
        <f t="shared" si="6"/>
        <v>1.7940500001714099E-2</v>
      </c>
      <c r="J50" s="30"/>
      <c r="K50" s="30"/>
      <c r="L50" s="30"/>
      <c r="M50" s="30"/>
      <c r="N50" s="30"/>
      <c r="O50" s="30"/>
      <c r="P50" s="30"/>
      <c r="Q50" s="32">
        <f t="shared" si="7"/>
        <v>25213.819000000003</v>
      </c>
      <c r="R50" s="32"/>
      <c r="S50" s="32"/>
      <c r="T50" s="32"/>
    </row>
    <row r="51" spans="1:35" ht="12.75" customHeight="1" x14ac:dyDescent="0.2">
      <c r="A51" s="30" t="s">
        <v>12</v>
      </c>
      <c r="B51" s="30"/>
      <c r="C51" s="31">
        <v>40526.26</v>
      </c>
      <c r="D51" s="31" t="s">
        <v>14</v>
      </c>
      <c r="E51" s="30">
        <f t="shared" si="3"/>
        <v>0</v>
      </c>
      <c r="F51" s="30">
        <f t="shared" si="4"/>
        <v>0</v>
      </c>
      <c r="G51" s="30">
        <f t="shared" si="5"/>
        <v>0</v>
      </c>
      <c r="H51" s="30"/>
      <c r="I51" s="30">
        <f t="shared" si="6"/>
        <v>0</v>
      </c>
      <c r="J51" s="30"/>
      <c r="K51" s="30"/>
      <c r="L51" s="30"/>
      <c r="M51" s="30"/>
      <c r="N51" s="30"/>
      <c r="O51" s="30">
        <f t="shared" ref="O51:O73" ca="1" si="8">+C$11+C$12*F51</f>
        <v>-7.5352090677462125E-3</v>
      </c>
      <c r="P51" s="30"/>
      <c r="Q51" s="32">
        <f t="shared" si="7"/>
        <v>25507.760000000002</v>
      </c>
      <c r="R51" s="32"/>
      <c r="S51" s="32"/>
      <c r="T51" s="32"/>
      <c r="U51" s="30"/>
      <c r="V51" s="30"/>
      <c r="W51" s="9"/>
      <c r="X51" s="9"/>
      <c r="Y51" s="9"/>
      <c r="Z51" s="9"/>
    </row>
    <row r="52" spans="1:35" ht="12.75" customHeight="1" x14ac:dyDescent="0.2">
      <c r="A52" s="55" t="s">
        <v>168</v>
      </c>
      <c r="B52" s="56" t="s">
        <v>42</v>
      </c>
      <c r="C52" s="55">
        <v>40526.33</v>
      </c>
      <c r="D52" s="55" t="s">
        <v>66</v>
      </c>
      <c r="E52" s="30">
        <f t="shared" si="3"/>
        <v>2.4646299199632193E-2</v>
      </c>
      <c r="F52" s="30">
        <f t="shared" si="4"/>
        <v>0</v>
      </c>
      <c r="G52" s="30">
        <f t="shared" si="5"/>
        <v>6.9999999999708962E-2</v>
      </c>
      <c r="H52" s="30"/>
      <c r="I52" s="30">
        <f t="shared" si="6"/>
        <v>6.9999999999708962E-2</v>
      </c>
      <c r="J52" s="30"/>
      <c r="K52" s="30"/>
      <c r="L52" s="30"/>
      <c r="M52" s="30"/>
      <c r="N52" s="30"/>
      <c r="O52" s="30">
        <f t="shared" ca="1" si="8"/>
        <v>-7.5352090677462125E-3</v>
      </c>
      <c r="P52" s="30"/>
      <c r="Q52" s="32">
        <f t="shared" si="7"/>
        <v>25507.83</v>
      </c>
      <c r="R52" s="32"/>
      <c r="S52" s="32"/>
      <c r="T52" s="32"/>
    </row>
    <row r="53" spans="1:35" ht="12.75" customHeight="1" x14ac:dyDescent="0.2">
      <c r="A53" s="55" t="s">
        <v>168</v>
      </c>
      <c r="B53" s="56" t="s">
        <v>42</v>
      </c>
      <c r="C53" s="55">
        <v>40563.269999999997</v>
      </c>
      <c r="D53" s="55" t="s">
        <v>66</v>
      </c>
      <c r="E53" s="30">
        <f t="shared" ref="E53:E73" si="9">+(C53-C$7)/C$8</f>
        <v>13.030850476886441</v>
      </c>
      <c r="F53" s="30">
        <f t="shared" ref="F53:F73" si="10">ROUND(2*E53,0)/2</f>
        <v>13</v>
      </c>
      <c r="G53" s="30">
        <f t="shared" ref="G53:G73" si="11">+C53-(C$7+F53*C$8)</f>
        <v>8.7620999991486315E-2</v>
      </c>
      <c r="H53" s="30"/>
      <c r="I53" s="30">
        <f t="shared" si="6"/>
        <v>8.7620999991486315E-2</v>
      </c>
      <c r="J53" s="30"/>
      <c r="K53" s="30"/>
      <c r="L53" s="30"/>
      <c r="M53" s="30"/>
      <c r="N53" s="30"/>
      <c r="O53" s="30">
        <f t="shared" ca="1" si="8"/>
        <v>-7.1792949006588593E-3</v>
      </c>
      <c r="P53" s="30"/>
      <c r="Q53" s="32">
        <f t="shared" ref="Q53:Q73" si="12">+C53-15018.5</f>
        <v>25544.769999999997</v>
      </c>
      <c r="R53" s="32"/>
      <c r="S53" s="32"/>
      <c r="T53" s="32"/>
    </row>
    <row r="54" spans="1:35" ht="12.75" customHeight="1" x14ac:dyDescent="0.2">
      <c r="A54" s="55" t="s">
        <v>95</v>
      </c>
      <c r="B54" s="56" t="s">
        <v>42</v>
      </c>
      <c r="C54" s="55">
        <v>41361.264999999999</v>
      </c>
      <c r="D54" s="55" t="s">
        <v>66</v>
      </c>
      <c r="E54" s="30">
        <f t="shared" si="9"/>
        <v>293.99690090391971</v>
      </c>
      <c r="F54" s="30">
        <f t="shared" si="10"/>
        <v>294</v>
      </c>
      <c r="G54" s="30">
        <f t="shared" si="11"/>
        <v>-8.802000003925059E-3</v>
      </c>
      <c r="H54" s="30"/>
      <c r="I54" s="30">
        <f t="shared" si="6"/>
        <v>-8.802000003925059E-3</v>
      </c>
      <c r="J54" s="30"/>
      <c r="K54" s="30"/>
      <c r="L54" s="30"/>
      <c r="M54" s="30"/>
      <c r="N54" s="30"/>
      <c r="O54" s="30">
        <f t="shared" ca="1" si="8"/>
        <v>5.1392671099855479E-4</v>
      </c>
      <c r="P54" s="30"/>
      <c r="Q54" s="32">
        <f t="shared" si="12"/>
        <v>26342.764999999999</v>
      </c>
      <c r="R54" s="32"/>
      <c r="S54" s="32"/>
      <c r="T54" s="32"/>
    </row>
    <row r="55" spans="1:35" ht="12.75" customHeight="1" x14ac:dyDescent="0.2">
      <c r="A55" s="55" t="s">
        <v>95</v>
      </c>
      <c r="B55" s="56" t="s">
        <v>37</v>
      </c>
      <c r="C55" s="55">
        <v>41598.438999999998</v>
      </c>
      <c r="D55" s="55" t="s">
        <v>66</v>
      </c>
      <c r="E55" s="30">
        <f t="shared" si="9"/>
        <v>377.50349185246034</v>
      </c>
      <c r="F55" s="30">
        <f t="shared" si="10"/>
        <v>377.5</v>
      </c>
      <c r="G55" s="30">
        <f t="shared" si="11"/>
        <v>9.9174999995739199E-3</v>
      </c>
      <c r="H55" s="30"/>
      <c r="I55" s="30">
        <f t="shared" si="6"/>
        <v>9.9174999995739199E-3</v>
      </c>
      <c r="J55" s="30"/>
      <c r="K55" s="30"/>
      <c r="L55" s="30"/>
      <c r="M55" s="30"/>
      <c r="N55" s="30"/>
      <c r="O55" s="30">
        <f t="shared" ca="1" si="8"/>
        <v>2.7999907842134793E-3</v>
      </c>
      <c r="P55" s="30"/>
      <c r="Q55" s="32">
        <f t="shared" si="12"/>
        <v>26579.938999999998</v>
      </c>
      <c r="R55" s="32"/>
      <c r="S55" s="32"/>
      <c r="T55" s="32"/>
    </row>
    <row r="56" spans="1:35" ht="12.75" customHeight="1" x14ac:dyDescent="0.2">
      <c r="A56" s="55" t="s">
        <v>168</v>
      </c>
      <c r="B56" s="56" t="s">
        <v>42</v>
      </c>
      <c r="C56" s="55">
        <v>41736.269999999997</v>
      </c>
      <c r="D56" s="55" t="s">
        <v>66</v>
      </c>
      <c r="E56" s="30">
        <f t="shared" si="9"/>
        <v>426.03240706672585</v>
      </c>
      <c r="F56" s="30">
        <f t="shared" si="10"/>
        <v>426</v>
      </c>
      <c r="G56" s="30">
        <f t="shared" si="11"/>
        <v>9.204199999658158E-2</v>
      </c>
      <c r="H56" s="30"/>
      <c r="I56" s="30">
        <f t="shared" si="6"/>
        <v>9.204199999658158E-2</v>
      </c>
      <c r="J56" s="30"/>
      <c r="K56" s="30"/>
      <c r="L56" s="30"/>
      <c r="M56" s="30"/>
      <c r="N56" s="30"/>
      <c r="O56" s="30">
        <f t="shared" ca="1" si="8"/>
        <v>4.1278244075778365E-3</v>
      </c>
      <c r="P56" s="30"/>
      <c r="Q56" s="32">
        <f t="shared" si="12"/>
        <v>26717.769999999997</v>
      </c>
      <c r="R56" s="32"/>
      <c r="S56" s="32"/>
      <c r="T56" s="32"/>
    </row>
    <row r="57" spans="1:35" ht="12.75" customHeight="1" x14ac:dyDescent="0.2">
      <c r="A57" s="30" t="s">
        <v>29</v>
      </c>
      <c r="B57" s="33" t="s">
        <v>37</v>
      </c>
      <c r="C57" s="31">
        <v>41973.328000000001</v>
      </c>
      <c r="D57" s="31"/>
      <c r="E57" s="30">
        <f t="shared" si="9"/>
        <v>509.49815557659463</v>
      </c>
      <c r="F57" s="30">
        <f t="shared" si="10"/>
        <v>509.5</v>
      </c>
      <c r="G57" s="30">
        <f t="shared" si="11"/>
        <v>-5.2385000017238781E-3</v>
      </c>
      <c r="H57" s="30"/>
      <c r="I57" s="30">
        <f t="shared" si="6"/>
        <v>-5.2385000017238781E-3</v>
      </c>
      <c r="J57" s="30"/>
      <c r="K57" s="30"/>
      <c r="L57" s="30"/>
      <c r="M57" s="30"/>
      <c r="N57" s="30"/>
      <c r="O57" s="30">
        <f t="shared" ca="1" si="8"/>
        <v>6.4138884807927628E-3</v>
      </c>
      <c r="P57" s="30"/>
      <c r="Q57" s="32">
        <f t="shared" si="12"/>
        <v>26954.828000000001</v>
      </c>
      <c r="R57" s="32"/>
      <c r="S57" s="32"/>
      <c r="T57" s="32"/>
      <c r="U57" s="30"/>
      <c r="V57" s="30"/>
      <c r="W57" s="9"/>
      <c r="X57" s="9"/>
      <c r="Y57" s="9"/>
      <c r="Z57" s="9"/>
    </row>
    <row r="58" spans="1:35" ht="12.75" customHeight="1" x14ac:dyDescent="0.2">
      <c r="A58" s="55" t="s">
        <v>95</v>
      </c>
      <c r="B58" s="56" t="s">
        <v>42</v>
      </c>
      <c r="C58" s="55">
        <v>41980.394</v>
      </c>
      <c r="D58" s="55" t="s">
        <v>66</v>
      </c>
      <c r="E58" s="30">
        <f t="shared" si="9"/>
        <v>511.98602343581314</v>
      </c>
      <c r="F58" s="30">
        <f t="shared" si="10"/>
        <v>512</v>
      </c>
      <c r="G58" s="30">
        <f t="shared" si="11"/>
        <v>-3.9695999999821652E-2</v>
      </c>
      <c r="H58" s="30"/>
      <c r="I58" s="30">
        <f t="shared" si="6"/>
        <v>-3.9695999999821652E-2</v>
      </c>
      <c r="J58" s="30"/>
      <c r="K58" s="30"/>
      <c r="L58" s="30"/>
      <c r="M58" s="30"/>
      <c r="N58" s="30"/>
      <c r="O58" s="30">
        <f t="shared" ca="1" si="8"/>
        <v>6.4823335129249454E-3</v>
      </c>
      <c r="P58" s="30"/>
      <c r="Q58" s="32">
        <f t="shared" si="12"/>
        <v>26961.894</v>
      </c>
      <c r="R58" s="32"/>
      <c r="S58" s="32"/>
      <c r="T58" s="32"/>
    </row>
    <row r="59" spans="1:35" ht="12.75" customHeight="1" x14ac:dyDescent="0.2">
      <c r="A59" s="55" t="s">
        <v>95</v>
      </c>
      <c r="B59" s="56" t="s">
        <v>42</v>
      </c>
      <c r="C59" s="55">
        <v>43792.49</v>
      </c>
      <c r="D59" s="55" t="s">
        <v>66</v>
      </c>
      <c r="E59" s="30">
        <f t="shared" si="9"/>
        <v>1150.006883359275</v>
      </c>
      <c r="F59" s="30">
        <f t="shared" si="10"/>
        <v>1150</v>
      </c>
      <c r="G59" s="30">
        <f t="shared" si="11"/>
        <v>1.9549999997252598E-2</v>
      </c>
      <c r="H59" s="30"/>
      <c r="I59" s="30">
        <f t="shared" si="6"/>
        <v>1.9549999997252598E-2</v>
      </c>
      <c r="J59" s="30"/>
      <c r="K59" s="30"/>
      <c r="L59" s="30"/>
      <c r="M59" s="30"/>
      <c r="N59" s="30"/>
      <c r="O59" s="30">
        <f t="shared" ca="1" si="8"/>
        <v>2.3949505713058143E-2</v>
      </c>
      <c r="P59" s="30"/>
      <c r="Q59" s="32">
        <f t="shared" si="12"/>
        <v>28773.989999999998</v>
      </c>
      <c r="R59" s="32"/>
      <c r="S59" s="32"/>
      <c r="T59" s="32"/>
    </row>
    <row r="60" spans="1:35" s="9" customFormat="1" ht="12.75" customHeight="1" x14ac:dyDescent="0.2">
      <c r="A60" s="30" t="s">
        <v>31</v>
      </c>
      <c r="B60" s="30"/>
      <c r="C60" s="31">
        <v>46442.307999999997</v>
      </c>
      <c r="D60" s="31"/>
      <c r="E60" s="30">
        <f t="shared" si="9"/>
        <v>2082.9812726855962</v>
      </c>
      <c r="F60" s="30">
        <f t="shared" si="10"/>
        <v>2083</v>
      </c>
      <c r="G60" s="30">
        <f t="shared" si="11"/>
        <v>-5.3189000005659182E-2</v>
      </c>
      <c r="H60" s="30"/>
      <c r="I60" s="30">
        <f t="shared" si="6"/>
        <v>-5.3189000005659182E-2</v>
      </c>
      <c r="J60" s="30"/>
      <c r="K60" s="30"/>
      <c r="L60" s="30"/>
      <c r="M60" s="30"/>
      <c r="N60" s="30"/>
      <c r="O60" s="30">
        <f t="shared" ca="1" si="8"/>
        <v>4.949319170478899E-2</v>
      </c>
      <c r="P60" s="30"/>
      <c r="Q60" s="32">
        <f t="shared" si="12"/>
        <v>31423.807999999997</v>
      </c>
      <c r="R60" s="32"/>
      <c r="S60" s="32"/>
      <c r="T60" s="32"/>
      <c r="U60" s="30"/>
      <c r="V60" s="30"/>
      <c r="AD60" s="9" t="s">
        <v>28</v>
      </c>
      <c r="AI60" s="9" t="s">
        <v>30</v>
      </c>
    </row>
    <row r="61" spans="1:35" ht="12.75" customHeight="1" x14ac:dyDescent="0.2">
      <c r="A61" s="30" t="s">
        <v>33</v>
      </c>
      <c r="B61" s="30"/>
      <c r="C61" s="40">
        <v>46902.406000000003</v>
      </c>
      <c r="D61" s="31"/>
      <c r="E61" s="30">
        <f t="shared" si="9"/>
        <v>2244.9771722455912</v>
      </c>
      <c r="F61" s="30">
        <f t="shared" si="10"/>
        <v>2245</v>
      </c>
      <c r="G61" s="30">
        <f t="shared" si="11"/>
        <v>-6.483499999740161E-2</v>
      </c>
      <c r="H61" s="30"/>
      <c r="I61" s="30">
        <f t="shared" si="6"/>
        <v>-6.483499999740161E-2</v>
      </c>
      <c r="J61" s="30"/>
      <c r="K61" s="30"/>
      <c r="L61" s="30"/>
      <c r="M61" s="30"/>
      <c r="N61" s="30"/>
      <c r="O61" s="30">
        <f t="shared" ca="1" si="8"/>
        <v>5.3928429786954467E-2</v>
      </c>
      <c r="P61" s="30"/>
      <c r="Q61" s="32">
        <f t="shared" si="12"/>
        <v>31883.906000000003</v>
      </c>
      <c r="R61" s="32"/>
      <c r="S61" s="32"/>
      <c r="T61" s="32"/>
      <c r="U61" s="30"/>
      <c r="V61" s="30"/>
      <c r="W61" s="9"/>
      <c r="X61" s="9"/>
      <c r="Y61" s="9"/>
      <c r="Z61" s="9"/>
    </row>
    <row r="62" spans="1:35" ht="12.75" customHeight="1" x14ac:dyDescent="0.2">
      <c r="A62" s="55" t="s">
        <v>199</v>
      </c>
      <c r="B62" s="56" t="s">
        <v>42</v>
      </c>
      <c r="C62" s="55">
        <v>47791.39</v>
      </c>
      <c r="D62" s="55" t="s">
        <v>66</v>
      </c>
      <c r="E62" s="30">
        <f t="shared" si="9"/>
        <v>2557.9795386424034</v>
      </c>
      <c r="F62" s="30">
        <f t="shared" si="10"/>
        <v>2558</v>
      </c>
      <c r="G62" s="30">
        <f t="shared" si="11"/>
        <v>-5.8113999999477528E-2</v>
      </c>
      <c r="H62" s="30"/>
      <c r="I62" s="30">
        <f t="shared" si="6"/>
        <v>-5.8113999999477528E-2</v>
      </c>
      <c r="J62" s="30"/>
      <c r="K62" s="30"/>
      <c r="L62" s="30"/>
      <c r="M62" s="30"/>
      <c r="N62" s="30"/>
      <c r="O62" s="30">
        <f t="shared" ca="1" si="8"/>
        <v>6.2497747809903831E-2</v>
      </c>
      <c r="P62" s="30"/>
      <c r="Q62" s="32">
        <f t="shared" si="12"/>
        <v>32772.89</v>
      </c>
      <c r="R62" s="32"/>
      <c r="S62" s="32"/>
      <c r="T62" s="32"/>
    </row>
    <row r="63" spans="1:35" s="9" customFormat="1" ht="12.75" customHeight="1" x14ac:dyDescent="0.2">
      <c r="A63" s="30" t="s">
        <v>35</v>
      </c>
      <c r="B63" s="30"/>
      <c r="C63" s="40">
        <v>48518.466</v>
      </c>
      <c r="D63" s="31">
        <v>5.0000000000000001E-3</v>
      </c>
      <c r="E63" s="30">
        <f t="shared" si="9"/>
        <v>2813.9757191702079</v>
      </c>
      <c r="F63" s="30">
        <f t="shared" si="10"/>
        <v>2814</v>
      </c>
      <c r="G63" s="30">
        <f t="shared" si="11"/>
        <v>-6.896200000483077E-2</v>
      </c>
      <c r="H63" s="30"/>
      <c r="I63" s="30">
        <f t="shared" si="6"/>
        <v>-6.896200000483077E-2</v>
      </c>
      <c r="J63" s="30"/>
      <c r="K63" s="30"/>
      <c r="L63" s="30"/>
      <c r="M63" s="30"/>
      <c r="N63" s="30"/>
      <c r="O63" s="30">
        <f t="shared" ca="1" si="8"/>
        <v>6.9506519100239403E-2</v>
      </c>
      <c r="P63" s="30"/>
      <c r="Q63" s="32">
        <f t="shared" si="12"/>
        <v>33499.966</v>
      </c>
      <c r="R63" s="32"/>
      <c r="S63" s="32"/>
      <c r="T63" s="32"/>
      <c r="U63" s="30"/>
      <c r="V63" s="30"/>
      <c r="AD63" s="9" t="s">
        <v>28</v>
      </c>
      <c r="AE63" s="9">
        <v>6</v>
      </c>
      <c r="AG63" s="9" t="s">
        <v>32</v>
      </c>
      <c r="AI63" s="9" t="s">
        <v>34</v>
      </c>
    </row>
    <row r="64" spans="1:35" s="9" customFormat="1" ht="12.75" customHeight="1" x14ac:dyDescent="0.2">
      <c r="A64" s="30" t="s">
        <v>36</v>
      </c>
      <c r="B64" s="30"/>
      <c r="C64" s="40">
        <v>48819.55</v>
      </c>
      <c r="D64" s="31">
        <v>1.2E-2</v>
      </c>
      <c r="E64" s="30">
        <f t="shared" si="9"/>
        <v>2919.9843812881072</v>
      </c>
      <c r="F64" s="30">
        <f t="shared" si="10"/>
        <v>2920</v>
      </c>
      <c r="G64" s="30">
        <f t="shared" si="11"/>
        <v>-4.4359999999869615E-2</v>
      </c>
      <c r="H64" s="30"/>
      <c r="I64" s="30">
        <f t="shared" si="6"/>
        <v>-4.4359999999869615E-2</v>
      </c>
      <c r="J64" s="30"/>
      <c r="K64" s="30"/>
      <c r="L64" s="30"/>
      <c r="M64" s="30"/>
      <c r="N64" s="30"/>
      <c r="O64" s="30">
        <f t="shared" ca="1" si="8"/>
        <v>7.2408588462643989E-2</v>
      </c>
      <c r="P64" s="30"/>
      <c r="Q64" s="32">
        <f t="shared" si="12"/>
        <v>33801.050000000003</v>
      </c>
      <c r="R64" s="32"/>
      <c r="S64" s="32"/>
      <c r="T64" s="32"/>
      <c r="U64" s="30"/>
      <c r="V64" s="30"/>
      <c r="AD64" s="9" t="s">
        <v>28</v>
      </c>
      <c r="AE64" s="9">
        <v>5</v>
      </c>
      <c r="AG64" s="9" t="s">
        <v>32</v>
      </c>
      <c r="AI64" s="9" t="s">
        <v>34</v>
      </c>
    </row>
    <row r="65" spans="1:35" s="9" customFormat="1" ht="12.75" customHeight="1" x14ac:dyDescent="0.2">
      <c r="A65" s="55" t="s">
        <v>213</v>
      </c>
      <c r="B65" s="56" t="s">
        <v>37</v>
      </c>
      <c r="C65" s="55">
        <v>51925.271000000001</v>
      </c>
      <c r="D65" s="55" t="s">
        <v>66</v>
      </c>
      <c r="E65" s="30">
        <f t="shared" si="9"/>
        <v>4013.4776526723799</v>
      </c>
      <c r="F65" s="30">
        <f t="shared" si="10"/>
        <v>4013.5</v>
      </c>
      <c r="G65" s="30">
        <f t="shared" si="11"/>
        <v>-6.3470500004768837E-2</v>
      </c>
      <c r="H65" s="30"/>
      <c r="I65" s="30">
        <f t="shared" si="6"/>
        <v>-6.3470500004768837E-2</v>
      </c>
      <c r="J65" s="30"/>
      <c r="K65" s="30"/>
      <c r="L65" s="30"/>
      <c r="M65" s="30"/>
      <c r="N65" s="30"/>
      <c r="O65" s="30">
        <f t="shared" ca="1" si="8"/>
        <v>0.10234644551726099</v>
      </c>
      <c r="P65" s="30"/>
      <c r="Q65" s="32">
        <f t="shared" si="12"/>
        <v>36906.771000000001</v>
      </c>
      <c r="R65" s="32"/>
      <c r="S65" s="32"/>
      <c r="T65" s="32"/>
      <c r="U65"/>
      <c r="V65"/>
      <c r="W65"/>
      <c r="X65"/>
      <c r="Y65"/>
      <c r="Z65"/>
      <c r="AD65" s="9" t="s">
        <v>28</v>
      </c>
      <c r="AE65" s="9">
        <v>6</v>
      </c>
      <c r="AG65" s="9" t="s">
        <v>32</v>
      </c>
      <c r="AI65" s="9" t="s">
        <v>34</v>
      </c>
    </row>
    <row r="66" spans="1:35" s="9" customFormat="1" ht="12.75" customHeight="1" x14ac:dyDescent="0.2">
      <c r="A66" s="28" t="s">
        <v>41</v>
      </c>
      <c r="B66" s="29" t="s">
        <v>42</v>
      </c>
      <c r="C66" s="37">
        <v>52858.436379999999</v>
      </c>
      <c r="D66" s="28" t="s">
        <v>43</v>
      </c>
      <c r="E66" s="30">
        <f t="shared" si="9"/>
        <v>4342.0358406482947</v>
      </c>
      <c r="F66" s="30">
        <f t="shared" si="10"/>
        <v>4342</v>
      </c>
      <c r="G66" s="30">
        <f t="shared" si="11"/>
        <v>0.10179399999469751</v>
      </c>
      <c r="H66" s="30"/>
      <c r="I66" s="30"/>
      <c r="J66" s="30"/>
      <c r="K66" s="30">
        <f t="shared" ref="K66:K73" si="13">G66</f>
        <v>0.10179399999469751</v>
      </c>
      <c r="L66" s="30"/>
      <c r="M66" s="30"/>
      <c r="N66" s="30"/>
      <c r="O66" s="30">
        <f t="shared" ca="1" si="8"/>
        <v>0.11134012273942989</v>
      </c>
      <c r="P66" s="30"/>
      <c r="Q66" s="32">
        <f t="shared" si="12"/>
        <v>37839.936379999999</v>
      </c>
      <c r="R66" s="32"/>
      <c r="S66" s="32"/>
      <c r="T66" s="32"/>
      <c r="U66" s="30"/>
      <c r="V66" s="30"/>
    </row>
    <row r="67" spans="1:35" s="9" customFormat="1" ht="12.75" customHeight="1" x14ac:dyDescent="0.2">
      <c r="A67" s="28" t="s">
        <v>41</v>
      </c>
      <c r="B67" s="29" t="s">
        <v>42</v>
      </c>
      <c r="C67" s="37">
        <v>52875.47954</v>
      </c>
      <c r="D67" s="28" t="s">
        <v>43</v>
      </c>
      <c r="E67" s="30">
        <f t="shared" si="9"/>
        <v>4348.0365666578518</v>
      </c>
      <c r="F67" s="30">
        <f t="shared" si="10"/>
        <v>4348</v>
      </c>
      <c r="G67" s="30">
        <f t="shared" si="11"/>
        <v>0.10385600000154227</v>
      </c>
      <c r="H67" s="30"/>
      <c r="I67" s="30"/>
      <c r="J67" s="30"/>
      <c r="K67" s="30">
        <f t="shared" si="13"/>
        <v>0.10385600000154227</v>
      </c>
      <c r="L67" s="30"/>
      <c r="M67" s="30"/>
      <c r="N67" s="30"/>
      <c r="O67" s="30">
        <f t="shared" ca="1" si="8"/>
        <v>0.11150439081654713</v>
      </c>
      <c r="P67" s="30"/>
      <c r="Q67" s="32">
        <f t="shared" si="12"/>
        <v>37856.97954</v>
      </c>
      <c r="R67" s="32"/>
      <c r="S67" s="32"/>
      <c r="T67" s="32"/>
      <c r="U67" s="30"/>
      <c r="V67" s="30"/>
      <c r="AD67" s="9" t="s">
        <v>28</v>
      </c>
      <c r="AI67" s="9" t="s">
        <v>30</v>
      </c>
    </row>
    <row r="68" spans="1:35" ht="12.75" customHeight="1" x14ac:dyDescent="0.2">
      <c r="A68" s="28" t="s">
        <v>41</v>
      </c>
      <c r="B68" s="29" t="s">
        <v>42</v>
      </c>
      <c r="C68" s="37">
        <v>52909.559840000002</v>
      </c>
      <c r="D68" s="28" t="s">
        <v>43</v>
      </c>
      <c r="E68" s="30">
        <f t="shared" si="9"/>
        <v>4360.0358990952336</v>
      </c>
      <c r="F68" s="30">
        <f t="shared" si="10"/>
        <v>4360</v>
      </c>
      <c r="G68" s="30">
        <f t="shared" si="11"/>
        <v>0.10195999999996275</v>
      </c>
      <c r="H68" s="30"/>
      <c r="I68" s="30"/>
      <c r="J68" s="30"/>
      <c r="K68" s="30">
        <f t="shared" si="13"/>
        <v>0.10195999999996275</v>
      </c>
      <c r="L68" s="30"/>
      <c r="M68" s="30"/>
      <c r="N68" s="30"/>
      <c r="O68" s="30">
        <f t="shared" ca="1" si="8"/>
        <v>0.11183292697078162</v>
      </c>
      <c r="P68" s="30"/>
      <c r="Q68" s="32">
        <f t="shared" si="12"/>
        <v>37891.059840000002</v>
      </c>
      <c r="R68" s="32"/>
      <c r="S68" s="32"/>
      <c r="T68" s="32"/>
      <c r="U68" s="30"/>
      <c r="V68" s="30"/>
      <c r="W68" s="9"/>
      <c r="X68" s="9"/>
      <c r="Y68" s="9"/>
      <c r="Z68" s="9"/>
    </row>
    <row r="69" spans="1:35" ht="12.75" customHeight="1" x14ac:dyDescent="0.2">
      <c r="A69" s="55" t="s">
        <v>233</v>
      </c>
      <c r="B69" s="56" t="s">
        <v>42</v>
      </c>
      <c r="C69" s="55">
        <v>55082.334799999997</v>
      </c>
      <c r="D69" s="55" t="s">
        <v>66</v>
      </c>
      <c r="E69" s="30">
        <f t="shared" si="9"/>
        <v>5125.0482099216824</v>
      </c>
      <c r="F69" s="30">
        <f t="shared" si="10"/>
        <v>5125</v>
      </c>
      <c r="G69" s="30">
        <f t="shared" si="11"/>
        <v>0.13692499999160646</v>
      </c>
      <c r="H69" s="30"/>
      <c r="I69" s="30"/>
      <c r="J69" s="30"/>
      <c r="K69" s="30">
        <f t="shared" si="13"/>
        <v>0.13692499999160646</v>
      </c>
      <c r="L69" s="30"/>
      <c r="M69" s="30"/>
      <c r="N69" s="30"/>
      <c r="O69" s="30">
        <f t="shared" ca="1" si="8"/>
        <v>0.13277710680322974</v>
      </c>
      <c r="P69" s="30"/>
      <c r="Q69" s="32">
        <f t="shared" si="12"/>
        <v>40063.834799999997</v>
      </c>
      <c r="R69" s="32"/>
      <c r="S69" s="32"/>
      <c r="T69" s="32"/>
    </row>
    <row r="70" spans="1:35" ht="12" customHeight="1" x14ac:dyDescent="0.2">
      <c r="A70" s="38" t="s">
        <v>51</v>
      </c>
      <c r="B70" s="29" t="s">
        <v>42</v>
      </c>
      <c r="C70" s="37">
        <v>55502.682999999997</v>
      </c>
      <c r="D70" s="28">
        <v>4.0000000000000002E-4</v>
      </c>
      <c r="E70" s="30">
        <f t="shared" si="9"/>
        <v>5273.04860285411</v>
      </c>
      <c r="F70" s="30">
        <f t="shared" si="10"/>
        <v>5273</v>
      </c>
      <c r="G70" s="30">
        <f t="shared" si="11"/>
        <v>0.13804099999106256</v>
      </c>
      <c r="H70" s="30"/>
      <c r="I70" s="30"/>
      <c r="J70" s="30"/>
      <c r="K70" s="30">
        <f t="shared" si="13"/>
        <v>0.13804099999106256</v>
      </c>
      <c r="L70" s="30"/>
      <c r="M70" s="30"/>
      <c r="N70" s="30"/>
      <c r="O70" s="30">
        <f t="shared" ca="1" si="8"/>
        <v>0.13682905270545498</v>
      </c>
      <c r="P70" s="30"/>
      <c r="Q70" s="32">
        <f t="shared" si="12"/>
        <v>40484.182999999997</v>
      </c>
      <c r="R70" s="32"/>
      <c r="S70" s="32"/>
      <c r="T70" s="32"/>
      <c r="U70" s="34"/>
      <c r="V70" s="34"/>
    </row>
    <row r="71" spans="1:35" s="9" customFormat="1" ht="12" customHeight="1" x14ac:dyDescent="0.2">
      <c r="A71" s="35" t="s">
        <v>52</v>
      </c>
      <c r="B71" s="36" t="s">
        <v>37</v>
      </c>
      <c r="C71" s="39">
        <v>55836.40797</v>
      </c>
      <c r="D71" s="35">
        <v>4.8999999999999998E-4</v>
      </c>
      <c r="E71" s="30">
        <f t="shared" si="9"/>
        <v>5390.5498237261463</v>
      </c>
      <c r="F71" s="30">
        <f t="shared" si="10"/>
        <v>5390.5</v>
      </c>
      <c r="G71" s="30">
        <f t="shared" si="11"/>
        <v>0.1415084999971441</v>
      </c>
      <c r="H71" s="30"/>
      <c r="I71" s="30"/>
      <c r="J71" s="30"/>
      <c r="K71" s="30">
        <f t="shared" si="13"/>
        <v>0.1415084999971441</v>
      </c>
      <c r="L71" s="30"/>
      <c r="M71" s="30"/>
      <c r="N71" s="30"/>
      <c r="O71" s="30">
        <f t="shared" ca="1" si="8"/>
        <v>0.14004596921566762</v>
      </c>
      <c r="P71" s="30"/>
      <c r="Q71" s="32">
        <f t="shared" si="12"/>
        <v>40817.90797</v>
      </c>
      <c r="R71" s="32"/>
      <c r="S71" s="32"/>
      <c r="T71" s="32"/>
      <c r="U71" s="34"/>
      <c r="V71"/>
      <c r="W71"/>
      <c r="X71"/>
      <c r="Y71"/>
      <c r="Z71"/>
    </row>
    <row r="72" spans="1:35" s="9" customFormat="1" ht="12" customHeight="1" x14ac:dyDescent="0.2">
      <c r="A72" s="55" t="s">
        <v>247</v>
      </c>
      <c r="B72" s="56" t="s">
        <v>37</v>
      </c>
      <c r="C72" s="55">
        <v>55836.414700000001</v>
      </c>
      <c r="D72" s="55" t="s">
        <v>66</v>
      </c>
      <c r="E72" s="30">
        <f t="shared" si="9"/>
        <v>5390.55219329177</v>
      </c>
      <c r="F72" s="30">
        <f t="shared" si="10"/>
        <v>5390.5</v>
      </c>
      <c r="G72" s="30">
        <f t="shared" si="11"/>
        <v>0.148238499998115</v>
      </c>
      <c r="H72" s="30"/>
      <c r="I72" s="30"/>
      <c r="J72" s="30"/>
      <c r="K72" s="30">
        <f t="shared" si="13"/>
        <v>0.148238499998115</v>
      </c>
      <c r="L72" s="30"/>
      <c r="M72" s="30"/>
      <c r="N72" s="30"/>
      <c r="O72" s="30">
        <f t="shared" ca="1" si="8"/>
        <v>0.14004596921566762</v>
      </c>
      <c r="P72" s="30"/>
      <c r="Q72" s="32">
        <f t="shared" si="12"/>
        <v>40817.914700000001</v>
      </c>
      <c r="R72" s="32"/>
      <c r="S72" s="32"/>
      <c r="T72" s="32"/>
      <c r="U72"/>
      <c r="V72"/>
      <c r="W72"/>
      <c r="X72"/>
      <c r="Y72"/>
      <c r="Z72"/>
    </row>
    <row r="73" spans="1:35" s="9" customFormat="1" ht="12" customHeight="1" x14ac:dyDescent="0.2">
      <c r="A73" s="35" t="s">
        <v>52</v>
      </c>
      <c r="B73" s="36" t="s">
        <v>42</v>
      </c>
      <c r="C73" s="39">
        <v>55866.230940000001</v>
      </c>
      <c r="D73" s="35">
        <v>2.7E-4</v>
      </c>
      <c r="E73" s="30">
        <f t="shared" si="9"/>
        <v>5401.0501928924996</v>
      </c>
      <c r="F73" s="30">
        <f t="shared" si="10"/>
        <v>5401</v>
      </c>
      <c r="G73" s="30">
        <f t="shared" si="11"/>
        <v>0.1425569999992149</v>
      </c>
      <c r="H73" s="30"/>
      <c r="I73" s="30"/>
      <c r="J73" s="30"/>
      <c r="K73" s="30">
        <f t="shared" si="13"/>
        <v>0.1425569999992149</v>
      </c>
      <c r="L73" s="30"/>
      <c r="M73" s="30"/>
      <c r="N73" s="30"/>
      <c r="O73" s="30">
        <f t="shared" ca="1" si="8"/>
        <v>0.14033343835062279</v>
      </c>
      <c r="P73" s="30"/>
      <c r="Q73" s="32">
        <f t="shared" si="12"/>
        <v>40847.730940000001</v>
      </c>
      <c r="R73" s="32"/>
      <c r="S73" s="32"/>
      <c r="T73" s="32"/>
      <c r="U73" s="34"/>
      <c r="V73"/>
      <c r="W73"/>
      <c r="X73"/>
      <c r="Y73"/>
      <c r="Z73"/>
    </row>
    <row r="74" spans="1:35" ht="12" customHeight="1" x14ac:dyDescent="0.2">
      <c r="A74" s="57" t="s">
        <v>252</v>
      </c>
      <c r="B74" s="58" t="s">
        <v>42</v>
      </c>
      <c r="C74" s="59">
        <v>59163.730600000003</v>
      </c>
      <c r="D74" s="60">
        <v>1.8E-3</v>
      </c>
      <c r="E74" s="30">
        <f t="shared" ref="E74:E75" si="14">+(C74-C$7)/C$8</f>
        <v>6562.0668104836905</v>
      </c>
      <c r="F74" s="30">
        <f t="shared" ref="F74:F75" si="15">ROUND(2*E74,0)/2</f>
        <v>6562</v>
      </c>
      <c r="G74" s="30">
        <f t="shared" ref="G74:G75" si="16">+C74-(C$7+F74*C$8)</f>
        <v>0.18975399999908404</v>
      </c>
      <c r="H74" s="30"/>
      <c r="I74" s="30"/>
      <c r="J74" s="30"/>
      <c r="K74" s="30">
        <f t="shared" ref="K74:K75" si="17">G74</f>
        <v>0.18975399999908404</v>
      </c>
      <c r="L74" s="30"/>
      <c r="M74" s="30"/>
      <c r="N74" s="30"/>
      <c r="O74" s="30">
        <f t="shared" ref="O74:O75" ca="1" si="18">+C$11+C$12*F74</f>
        <v>0.17211931127280874</v>
      </c>
      <c r="P74" s="30"/>
      <c r="Q74" s="32">
        <f t="shared" ref="Q74:Q75" si="19">+C74-15018.5</f>
        <v>44145.230600000003</v>
      </c>
      <c r="R74" s="32"/>
      <c r="S74" s="32"/>
      <c r="T74" s="32"/>
    </row>
    <row r="75" spans="1:35" ht="12" customHeight="1" x14ac:dyDescent="0.2">
      <c r="A75" s="57" t="s">
        <v>252</v>
      </c>
      <c r="B75" s="58" t="s">
        <v>42</v>
      </c>
      <c r="C75" s="59">
        <v>59200.610699999997</v>
      </c>
      <c r="D75" s="60">
        <v>1.9E-3</v>
      </c>
      <c r="E75" s="30">
        <f t="shared" si="14"/>
        <v>6575.0519244710622</v>
      </c>
      <c r="F75" s="30">
        <f t="shared" si="15"/>
        <v>6575</v>
      </c>
      <c r="G75" s="30">
        <f t="shared" si="16"/>
        <v>0.14747499999793945</v>
      </c>
      <c r="H75" s="30"/>
      <c r="I75" s="30"/>
      <c r="J75" s="30"/>
      <c r="K75" s="30">
        <f t="shared" si="17"/>
        <v>0.14747499999793945</v>
      </c>
      <c r="L75" s="30"/>
      <c r="M75" s="30"/>
      <c r="N75" s="30"/>
      <c r="O75" s="30">
        <f t="shared" ca="1" si="18"/>
        <v>0.1724752254398961</v>
      </c>
      <c r="P75" s="30"/>
      <c r="Q75" s="32">
        <f t="shared" si="19"/>
        <v>44182.110699999997</v>
      </c>
      <c r="R75" s="32"/>
      <c r="S75" s="32"/>
      <c r="T75" s="32"/>
    </row>
    <row r="76" spans="1:35" ht="12" customHeight="1" x14ac:dyDescent="0.2">
      <c r="B76" s="14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2"/>
      <c r="R76" s="32"/>
      <c r="S76" s="32"/>
      <c r="T76" s="32"/>
    </row>
    <row r="77" spans="1:35" ht="12" customHeight="1" x14ac:dyDescent="0.2">
      <c r="B77" s="14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2"/>
      <c r="R77" s="32"/>
      <c r="S77" s="32"/>
      <c r="T77" s="32"/>
    </row>
    <row r="78" spans="1:35" ht="12" customHeight="1" x14ac:dyDescent="0.2">
      <c r="B78" s="14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2"/>
      <c r="R78" s="32"/>
      <c r="S78" s="32"/>
      <c r="T78" s="32"/>
    </row>
    <row r="79" spans="1:35" ht="12" customHeight="1" x14ac:dyDescent="0.2">
      <c r="B79" s="14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2"/>
      <c r="R79" s="32"/>
      <c r="S79" s="32"/>
      <c r="T79" s="32"/>
    </row>
    <row r="80" spans="1:35" ht="12" customHeight="1" x14ac:dyDescent="0.2">
      <c r="B80" s="14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2"/>
      <c r="R80" s="32"/>
      <c r="S80" s="32"/>
      <c r="T80" s="32"/>
    </row>
    <row r="81" spans="2:20" ht="12" customHeight="1" x14ac:dyDescent="0.2">
      <c r="B81" s="14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2"/>
      <c r="R81" s="32"/>
      <c r="S81" s="32"/>
      <c r="T81" s="32"/>
    </row>
    <row r="82" spans="2:20" ht="12" customHeight="1" x14ac:dyDescent="0.2">
      <c r="B82" s="14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2"/>
      <c r="R82" s="32"/>
      <c r="S82" s="32"/>
      <c r="T82" s="32"/>
    </row>
    <row r="83" spans="2:20" ht="12.75" customHeight="1" x14ac:dyDescent="0.2">
      <c r="B83" s="14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2"/>
      <c r="R83" s="32"/>
      <c r="S83" s="32"/>
      <c r="T83" s="32"/>
    </row>
    <row r="84" spans="2:20" ht="12.75" customHeight="1" x14ac:dyDescent="0.2">
      <c r="B84" s="14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2"/>
      <c r="R84" s="32"/>
      <c r="S84" s="32"/>
      <c r="T84" s="32"/>
    </row>
    <row r="85" spans="2:20" ht="12.75" customHeight="1" x14ac:dyDescent="0.2">
      <c r="B85" s="14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2"/>
      <c r="R85" s="32"/>
      <c r="S85" s="32"/>
      <c r="T85" s="32"/>
    </row>
    <row r="86" spans="2:20" ht="12.75" customHeight="1" x14ac:dyDescent="0.2">
      <c r="B86" s="14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2"/>
      <c r="R86" s="32"/>
      <c r="S86" s="32"/>
      <c r="T86" s="32"/>
    </row>
    <row r="87" spans="2:20" ht="12.75" customHeight="1" x14ac:dyDescent="0.2">
      <c r="B87" s="14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2"/>
      <c r="R87" s="32"/>
      <c r="S87" s="32"/>
      <c r="T87" s="32"/>
    </row>
    <row r="88" spans="2:20" ht="12.75" customHeight="1" x14ac:dyDescent="0.2">
      <c r="B88" s="14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2"/>
      <c r="R88" s="32"/>
      <c r="S88" s="32"/>
      <c r="T88" s="32"/>
    </row>
    <row r="89" spans="2:20" ht="12.75" customHeight="1" x14ac:dyDescent="0.2">
      <c r="B89" s="14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2"/>
      <c r="R89" s="32"/>
      <c r="S89" s="32"/>
      <c r="T89" s="32"/>
    </row>
    <row r="90" spans="2:20" ht="12.75" customHeight="1" x14ac:dyDescent="0.2">
      <c r="B90" s="14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2"/>
      <c r="R90" s="32"/>
      <c r="S90" s="32"/>
      <c r="T90" s="32"/>
    </row>
    <row r="91" spans="2:20" ht="12.75" customHeight="1" x14ac:dyDescent="0.2">
      <c r="B91" s="14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2"/>
      <c r="R91" s="32"/>
      <c r="S91" s="32"/>
      <c r="T91" s="32"/>
    </row>
    <row r="92" spans="2:20" ht="12.75" customHeight="1" x14ac:dyDescent="0.2">
      <c r="B92" s="14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2"/>
      <c r="R92" s="32"/>
      <c r="S92" s="32"/>
      <c r="T92" s="32"/>
    </row>
    <row r="93" spans="2:20" ht="12.75" customHeight="1" x14ac:dyDescent="0.2">
      <c r="B93" s="14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2"/>
      <c r="R93" s="32"/>
      <c r="S93" s="32"/>
      <c r="T93" s="32"/>
    </row>
    <row r="94" spans="2:20" ht="12.75" customHeight="1" x14ac:dyDescent="0.2">
      <c r="B94" s="14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2"/>
      <c r="R94" s="32"/>
      <c r="S94" s="32"/>
      <c r="T94" s="32"/>
    </row>
    <row r="95" spans="2:20" ht="12.75" customHeight="1" x14ac:dyDescent="0.2">
      <c r="B95" s="14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2"/>
      <c r="R95" s="32"/>
      <c r="S95" s="32"/>
      <c r="T95" s="32"/>
    </row>
    <row r="96" spans="2:20" x14ac:dyDescent="0.2">
      <c r="B96" s="14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2"/>
      <c r="R96" s="32"/>
      <c r="S96" s="32"/>
      <c r="T96" s="3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25" workbookViewId="0">
      <selection activeCell="A22" sqref="A22:D62"/>
    </sheetView>
  </sheetViews>
  <sheetFormatPr defaultRowHeight="12.75" x14ac:dyDescent="0.2"/>
  <cols>
    <col min="1" max="1" width="19.7109375" style="42" customWidth="1"/>
    <col min="2" max="2" width="4.42578125" style="11" customWidth="1"/>
    <col min="3" max="3" width="12.7109375" style="4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1" t="s">
        <v>57</v>
      </c>
      <c r="I1" s="43" t="s">
        <v>58</v>
      </c>
      <c r="J1" s="44" t="s">
        <v>43</v>
      </c>
    </row>
    <row r="2" spans="1:16" x14ac:dyDescent="0.2">
      <c r="I2" s="45" t="s">
        <v>59</v>
      </c>
      <c r="J2" s="46" t="s">
        <v>60</v>
      </c>
    </row>
    <row r="3" spans="1:16" x14ac:dyDescent="0.2">
      <c r="A3" s="47" t="s">
        <v>61</v>
      </c>
      <c r="I3" s="45" t="s">
        <v>62</v>
      </c>
      <c r="J3" s="46" t="s">
        <v>63</v>
      </c>
    </row>
    <row r="4" spans="1:16" x14ac:dyDescent="0.2">
      <c r="I4" s="45" t="s">
        <v>64</v>
      </c>
      <c r="J4" s="46" t="s">
        <v>63</v>
      </c>
    </row>
    <row r="5" spans="1:16" ht="13.5" thickBot="1" x14ac:dyDescent="0.25">
      <c r="I5" s="48" t="s">
        <v>65</v>
      </c>
      <c r="J5" s="49" t="s">
        <v>66</v>
      </c>
    </row>
    <row r="10" spans="1:16" ht="13.5" thickBot="1" x14ac:dyDescent="0.25"/>
    <row r="11" spans="1:16" ht="12.75" customHeight="1" thickBot="1" x14ac:dyDescent="0.25">
      <c r="A11" s="42" t="str">
        <f t="shared" ref="A11:A42" si="0">P11</f>
        <v> MHAR 15.6 </v>
      </c>
      <c r="B11" s="14" t="str">
        <f t="shared" ref="B11:B42" si="1">IF(H11=INT(H11),"I","II")</f>
        <v>II</v>
      </c>
      <c r="C11" s="42">
        <f t="shared" ref="C11:C42" si="2">1*G11</f>
        <v>41973.328000000001</v>
      </c>
      <c r="D11" s="11" t="str">
        <f t="shared" ref="D11:D42" si="3">VLOOKUP(F11,I$1:J$5,2,FALSE)</f>
        <v>vis</v>
      </c>
      <c r="E11" s="50">
        <f>VLOOKUP(C11,Active!C$21:E$973,3,FALSE)</f>
        <v>509.49815557659463</v>
      </c>
      <c r="F11" s="14" t="s">
        <v>65</v>
      </c>
      <c r="G11" s="11" t="str">
        <f t="shared" ref="G11:G42" si="4">MID(I11,3,LEN(I11)-3)</f>
        <v>41973.328</v>
      </c>
      <c r="H11" s="42">
        <f t="shared" ref="H11:H42" si="5">1*K11</f>
        <v>509.5</v>
      </c>
      <c r="I11" s="51" t="s">
        <v>179</v>
      </c>
      <c r="J11" s="52" t="s">
        <v>180</v>
      </c>
      <c r="K11" s="51">
        <v>509.5</v>
      </c>
      <c r="L11" s="51" t="s">
        <v>181</v>
      </c>
      <c r="M11" s="52" t="s">
        <v>67</v>
      </c>
      <c r="N11" s="52"/>
      <c r="O11" s="53" t="s">
        <v>94</v>
      </c>
      <c r="P11" s="53" t="s">
        <v>95</v>
      </c>
    </row>
    <row r="12" spans="1:16" ht="12.75" customHeight="1" thickBot="1" x14ac:dyDescent="0.25">
      <c r="A12" s="42" t="str">
        <f t="shared" si="0"/>
        <v> VSSC 66.35 </v>
      </c>
      <c r="B12" s="14" t="str">
        <f t="shared" si="1"/>
        <v>I</v>
      </c>
      <c r="C12" s="42">
        <f t="shared" si="2"/>
        <v>46442.307999999997</v>
      </c>
      <c r="D12" s="11" t="str">
        <f t="shared" si="3"/>
        <v>vis</v>
      </c>
      <c r="E12" s="50">
        <f>VLOOKUP(C12,Active!C$21:E$973,3,FALSE)</f>
        <v>2082.9812726855962</v>
      </c>
      <c r="F12" s="14" t="s">
        <v>65</v>
      </c>
      <c r="G12" s="11" t="str">
        <f t="shared" si="4"/>
        <v>46442.308</v>
      </c>
      <c r="H12" s="42">
        <f t="shared" si="5"/>
        <v>2083</v>
      </c>
      <c r="I12" s="51" t="s">
        <v>187</v>
      </c>
      <c r="J12" s="52" t="s">
        <v>188</v>
      </c>
      <c r="K12" s="51">
        <v>2083</v>
      </c>
      <c r="L12" s="51" t="s">
        <v>189</v>
      </c>
      <c r="M12" s="52" t="s">
        <v>190</v>
      </c>
      <c r="N12" s="52"/>
      <c r="O12" s="53" t="s">
        <v>191</v>
      </c>
      <c r="P12" s="53" t="s">
        <v>192</v>
      </c>
    </row>
    <row r="13" spans="1:16" ht="12.75" customHeight="1" thickBot="1" x14ac:dyDescent="0.25">
      <c r="A13" s="42" t="str">
        <f t="shared" si="0"/>
        <v> BBS 83 </v>
      </c>
      <c r="B13" s="14" t="str">
        <f t="shared" si="1"/>
        <v>I</v>
      </c>
      <c r="C13" s="42">
        <f t="shared" si="2"/>
        <v>46902.406000000003</v>
      </c>
      <c r="D13" s="11" t="str">
        <f t="shared" si="3"/>
        <v>vis</v>
      </c>
      <c r="E13" s="50">
        <f>VLOOKUP(C13,Active!C$21:E$973,3,FALSE)</f>
        <v>2244.9771722455912</v>
      </c>
      <c r="F13" s="14" t="s">
        <v>65</v>
      </c>
      <c r="G13" s="11" t="str">
        <f t="shared" si="4"/>
        <v>46902.406</v>
      </c>
      <c r="H13" s="42">
        <f t="shared" si="5"/>
        <v>2245</v>
      </c>
      <c r="I13" s="51" t="s">
        <v>193</v>
      </c>
      <c r="J13" s="52" t="s">
        <v>194</v>
      </c>
      <c r="K13" s="51">
        <v>2245</v>
      </c>
      <c r="L13" s="51" t="s">
        <v>120</v>
      </c>
      <c r="M13" s="52" t="s">
        <v>190</v>
      </c>
      <c r="N13" s="52"/>
      <c r="O13" s="53" t="s">
        <v>195</v>
      </c>
      <c r="P13" s="53" t="s">
        <v>196</v>
      </c>
    </row>
    <row r="14" spans="1:16" ht="12.75" customHeight="1" thickBot="1" x14ac:dyDescent="0.25">
      <c r="A14" s="42" t="str">
        <f t="shared" si="0"/>
        <v> BBS 99 </v>
      </c>
      <c r="B14" s="14" t="str">
        <f t="shared" si="1"/>
        <v>I</v>
      </c>
      <c r="C14" s="42">
        <f t="shared" si="2"/>
        <v>48518.466</v>
      </c>
      <c r="D14" s="11" t="str">
        <f t="shared" si="3"/>
        <v>vis</v>
      </c>
      <c r="E14" s="50">
        <f>VLOOKUP(C14,Active!C$21:E$973,3,FALSE)</f>
        <v>2813.9757191702079</v>
      </c>
      <c r="F14" s="14" t="s">
        <v>65</v>
      </c>
      <c r="G14" s="11" t="str">
        <f t="shared" si="4"/>
        <v>48518.466</v>
      </c>
      <c r="H14" s="42">
        <f t="shared" si="5"/>
        <v>2814</v>
      </c>
      <c r="I14" s="51" t="s">
        <v>200</v>
      </c>
      <c r="J14" s="52" t="s">
        <v>201</v>
      </c>
      <c r="K14" s="51">
        <v>2814</v>
      </c>
      <c r="L14" s="51" t="s">
        <v>202</v>
      </c>
      <c r="M14" s="52" t="s">
        <v>190</v>
      </c>
      <c r="N14" s="52"/>
      <c r="O14" s="53" t="s">
        <v>195</v>
      </c>
      <c r="P14" s="53" t="s">
        <v>203</v>
      </c>
    </row>
    <row r="15" spans="1:16" ht="12.75" customHeight="1" thickBot="1" x14ac:dyDescent="0.25">
      <c r="A15" s="42" t="str">
        <f t="shared" si="0"/>
        <v> BBS 101 </v>
      </c>
      <c r="B15" s="14" t="str">
        <f t="shared" si="1"/>
        <v>I</v>
      </c>
      <c r="C15" s="42">
        <f t="shared" si="2"/>
        <v>48819.55</v>
      </c>
      <c r="D15" s="11" t="str">
        <f t="shared" si="3"/>
        <v>vis</v>
      </c>
      <c r="E15" s="50">
        <f>VLOOKUP(C15,Active!C$21:E$973,3,FALSE)</f>
        <v>2919.9843812881072</v>
      </c>
      <c r="F15" s="14" t="s">
        <v>65</v>
      </c>
      <c r="G15" s="11" t="str">
        <f t="shared" si="4"/>
        <v>48819.550</v>
      </c>
      <c r="H15" s="42">
        <f t="shared" si="5"/>
        <v>2920</v>
      </c>
      <c r="I15" s="51" t="s">
        <v>204</v>
      </c>
      <c r="J15" s="52" t="s">
        <v>205</v>
      </c>
      <c r="K15" s="51">
        <v>2920</v>
      </c>
      <c r="L15" s="51" t="s">
        <v>206</v>
      </c>
      <c r="M15" s="52" t="s">
        <v>190</v>
      </c>
      <c r="N15" s="52"/>
      <c r="O15" s="53" t="s">
        <v>195</v>
      </c>
      <c r="P15" s="53" t="s">
        <v>207</v>
      </c>
    </row>
    <row r="16" spans="1:16" ht="12.75" customHeight="1" thickBot="1" x14ac:dyDescent="0.25">
      <c r="A16" s="42" t="str">
        <f t="shared" si="0"/>
        <v>OEJV 0074 </v>
      </c>
      <c r="B16" s="14" t="str">
        <f t="shared" si="1"/>
        <v>I</v>
      </c>
      <c r="C16" s="42">
        <f t="shared" si="2"/>
        <v>52858.436379999999</v>
      </c>
      <c r="D16" s="11" t="str">
        <f t="shared" si="3"/>
        <v>vis</v>
      </c>
      <c r="E16" s="50">
        <f>VLOOKUP(C16,Active!C$21:E$973,3,FALSE)</f>
        <v>4342.0358406482947</v>
      </c>
      <c r="F16" s="14" t="s">
        <v>65</v>
      </c>
      <c r="G16" s="11" t="str">
        <f t="shared" si="4"/>
        <v>52858.43638</v>
      </c>
      <c r="H16" s="42">
        <f t="shared" si="5"/>
        <v>4342</v>
      </c>
      <c r="I16" s="51" t="s">
        <v>214</v>
      </c>
      <c r="J16" s="52" t="s">
        <v>215</v>
      </c>
      <c r="K16" s="51">
        <v>4342</v>
      </c>
      <c r="L16" s="51" t="s">
        <v>216</v>
      </c>
      <c r="M16" s="52" t="s">
        <v>217</v>
      </c>
      <c r="N16" s="52" t="s">
        <v>218</v>
      </c>
      <c r="O16" s="53" t="s">
        <v>219</v>
      </c>
      <c r="P16" s="54" t="s">
        <v>220</v>
      </c>
    </row>
    <row r="17" spans="1:16" ht="12.75" customHeight="1" thickBot="1" x14ac:dyDescent="0.25">
      <c r="A17" s="42" t="str">
        <f t="shared" si="0"/>
        <v>OEJV 0074 </v>
      </c>
      <c r="B17" s="14" t="str">
        <f t="shared" si="1"/>
        <v>I</v>
      </c>
      <c r="C17" s="42">
        <f t="shared" si="2"/>
        <v>52875.47954</v>
      </c>
      <c r="D17" s="11" t="str">
        <f t="shared" si="3"/>
        <v>vis</v>
      </c>
      <c r="E17" s="50">
        <f>VLOOKUP(C17,Active!C$21:E$973,3,FALSE)</f>
        <v>4348.0365666578518</v>
      </c>
      <c r="F17" s="14" t="s">
        <v>65</v>
      </c>
      <c r="G17" s="11" t="str">
        <f t="shared" si="4"/>
        <v>52875.47954</v>
      </c>
      <c r="H17" s="42">
        <f t="shared" si="5"/>
        <v>4348</v>
      </c>
      <c r="I17" s="51" t="s">
        <v>221</v>
      </c>
      <c r="J17" s="52" t="s">
        <v>222</v>
      </c>
      <c r="K17" s="51">
        <v>4348</v>
      </c>
      <c r="L17" s="51" t="s">
        <v>223</v>
      </c>
      <c r="M17" s="52" t="s">
        <v>217</v>
      </c>
      <c r="N17" s="52" t="s">
        <v>218</v>
      </c>
      <c r="O17" s="53" t="s">
        <v>224</v>
      </c>
      <c r="P17" s="54" t="s">
        <v>220</v>
      </c>
    </row>
    <row r="18" spans="1:16" ht="12.75" customHeight="1" thickBot="1" x14ac:dyDescent="0.25">
      <c r="A18" s="42" t="str">
        <f t="shared" si="0"/>
        <v>OEJV 0074 </v>
      </c>
      <c r="B18" s="14" t="str">
        <f t="shared" si="1"/>
        <v>I</v>
      </c>
      <c r="C18" s="42">
        <f t="shared" si="2"/>
        <v>52909.559840000002</v>
      </c>
      <c r="D18" s="11" t="str">
        <f t="shared" si="3"/>
        <v>vis</v>
      </c>
      <c r="E18" s="50">
        <f>VLOOKUP(C18,Active!C$21:E$973,3,FALSE)</f>
        <v>4360.0358990952336</v>
      </c>
      <c r="F18" s="14" t="s">
        <v>65</v>
      </c>
      <c r="G18" s="11" t="str">
        <f t="shared" si="4"/>
        <v>52909.55984</v>
      </c>
      <c r="H18" s="42">
        <f t="shared" si="5"/>
        <v>4360</v>
      </c>
      <c r="I18" s="51" t="s">
        <v>225</v>
      </c>
      <c r="J18" s="52" t="s">
        <v>226</v>
      </c>
      <c r="K18" s="51">
        <v>4360</v>
      </c>
      <c r="L18" s="51" t="s">
        <v>227</v>
      </c>
      <c r="M18" s="52" t="s">
        <v>217</v>
      </c>
      <c r="N18" s="52" t="s">
        <v>218</v>
      </c>
      <c r="O18" s="53" t="s">
        <v>228</v>
      </c>
      <c r="P18" s="54" t="s">
        <v>220</v>
      </c>
    </row>
    <row r="19" spans="1:16" ht="12.75" customHeight="1" thickBot="1" x14ac:dyDescent="0.25">
      <c r="A19" s="42" t="str">
        <f t="shared" si="0"/>
        <v>IBVS 5960 </v>
      </c>
      <c r="B19" s="14" t="str">
        <f t="shared" si="1"/>
        <v>I</v>
      </c>
      <c r="C19" s="42">
        <f t="shared" si="2"/>
        <v>55502.682999999997</v>
      </c>
      <c r="D19" s="11" t="str">
        <f t="shared" si="3"/>
        <v>vis</v>
      </c>
      <c r="E19" s="50">
        <f>VLOOKUP(C19,Active!C$21:E$973,3,FALSE)</f>
        <v>5273.04860285411</v>
      </c>
      <c r="F19" s="14" t="s">
        <v>65</v>
      </c>
      <c r="G19" s="11" t="str">
        <f t="shared" si="4"/>
        <v>55502.6830</v>
      </c>
      <c r="H19" s="42">
        <f t="shared" si="5"/>
        <v>5273</v>
      </c>
      <c r="I19" s="51" t="s">
        <v>234</v>
      </c>
      <c r="J19" s="52" t="s">
        <v>235</v>
      </c>
      <c r="K19" s="51">
        <v>5273</v>
      </c>
      <c r="L19" s="51" t="s">
        <v>236</v>
      </c>
      <c r="M19" s="52" t="s">
        <v>217</v>
      </c>
      <c r="N19" s="52" t="s">
        <v>65</v>
      </c>
      <c r="O19" s="53" t="s">
        <v>212</v>
      </c>
      <c r="P19" s="54" t="s">
        <v>237</v>
      </c>
    </row>
    <row r="20" spans="1:16" ht="12.75" customHeight="1" thickBot="1" x14ac:dyDescent="0.25">
      <c r="A20" s="42" t="str">
        <f t="shared" si="0"/>
        <v>IBVS 6007 </v>
      </c>
      <c r="B20" s="14" t="str">
        <f t="shared" si="1"/>
        <v>II</v>
      </c>
      <c r="C20" s="42">
        <f t="shared" si="2"/>
        <v>55836.40797</v>
      </c>
      <c r="D20" s="11" t="str">
        <f t="shared" si="3"/>
        <v>vis</v>
      </c>
      <c r="E20" s="50">
        <f>VLOOKUP(C20,Active!C$21:E$973,3,FALSE)</f>
        <v>5390.5498237261463</v>
      </c>
      <c r="F20" s="14" t="s">
        <v>65</v>
      </c>
      <c r="G20" s="11" t="str">
        <f t="shared" si="4"/>
        <v>55836.40797</v>
      </c>
      <c r="H20" s="42">
        <f t="shared" si="5"/>
        <v>5390.5</v>
      </c>
      <c r="I20" s="51" t="s">
        <v>238</v>
      </c>
      <c r="J20" s="52" t="s">
        <v>239</v>
      </c>
      <c r="K20" s="51">
        <v>5390.5</v>
      </c>
      <c r="L20" s="51" t="s">
        <v>240</v>
      </c>
      <c r="M20" s="52" t="s">
        <v>217</v>
      </c>
      <c r="N20" s="52" t="s">
        <v>241</v>
      </c>
      <c r="O20" s="53" t="s">
        <v>242</v>
      </c>
      <c r="P20" s="54" t="s">
        <v>243</v>
      </c>
    </row>
    <row r="21" spans="1:16" ht="12.75" customHeight="1" thickBot="1" x14ac:dyDescent="0.25">
      <c r="A21" s="42" t="str">
        <f t="shared" si="0"/>
        <v>IBVS 6007 </v>
      </c>
      <c r="B21" s="14" t="str">
        <f t="shared" si="1"/>
        <v>I</v>
      </c>
      <c r="C21" s="42">
        <f t="shared" si="2"/>
        <v>55866.230940000001</v>
      </c>
      <c r="D21" s="11" t="str">
        <f t="shared" si="3"/>
        <v>vis</v>
      </c>
      <c r="E21" s="50">
        <f>VLOOKUP(C21,Active!C$21:E$973,3,FALSE)</f>
        <v>5401.0501928924996</v>
      </c>
      <c r="F21" s="14" t="s">
        <v>65</v>
      </c>
      <c r="G21" s="11" t="str">
        <f t="shared" si="4"/>
        <v>55866.23094</v>
      </c>
      <c r="H21" s="42">
        <f t="shared" si="5"/>
        <v>5401</v>
      </c>
      <c r="I21" s="51" t="s">
        <v>248</v>
      </c>
      <c r="J21" s="52" t="s">
        <v>249</v>
      </c>
      <c r="K21" s="51">
        <v>5401</v>
      </c>
      <c r="L21" s="51" t="s">
        <v>250</v>
      </c>
      <c r="M21" s="52" t="s">
        <v>217</v>
      </c>
      <c r="N21" s="52" t="s">
        <v>241</v>
      </c>
      <c r="O21" s="53" t="s">
        <v>251</v>
      </c>
      <c r="P21" s="54" t="s">
        <v>243</v>
      </c>
    </row>
    <row r="22" spans="1:16" ht="12.75" customHeight="1" thickBot="1" x14ac:dyDescent="0.25">
      <c r="A22" s="42" t="str">
        <f t="shared" si="0"/>
        <v> PZ 10.330 </v>
      </c>
      <c r="B22" s="14" t="str">
        <f t="shared" si="1"/>
        <v>I</v>
      </c>
      <c r="C22" s="42">
        <f t="shared" si="2"/>
        <v>16711.37</v>
      </c>
      <c r="D22" s="11" t="str">
        <f t="shared" si="3"/>
        <v>vis</v>
      </c>
      <c r="E22" s="50">
        <f>VLOOKUP(C22,Active!C$21:E$973,3,FALSE)</f>
        <v>-8384.9843478395596</v>
      </c>
      <c r="F22" s="14" t="s">
        <v>65</v>
      </c>
      <c r="G22" s="11" t="str">
        <f t="shared" si="4"/>
        <v>16711.37</v>
      </c>
      <c r="H22" s="42">
        <f t="shared" si="5"/>
        <v>-8385</v>
      </c>
      <c r="I22" s="51" t="s">
        <v>68</v>
      </c>
      <c r="J22" s="52" t="s">
        <v>69</v>
      </c>
      <c r="K22" s="51">
        <v>-8385</v>
      </c>
      <c r="L22" s="51" t="s">
        <v>70</v>
      </c>
      <c r="M22" s="52" t="s">
        <v>71</v>
      </c>
      <c r="N22" s="52"/>
      <c r="O22" s="53" t="s">
        <v>72</v>
      </c>
      <c r="P22" s="53" t="s">
        <v>73</v>
      </c>
    </row>
    <row r="23" spans="1:16" ht="12.75" customHeight="1" thickBot="1" x14ac:dyDescent="0.25">
      <c r="A23" s="42" t="str">
        <f t="shared" si="0"/>
        <v> PZ 10.330 </v>
      </c>
      <c r="B23" s="14" t="str">
        <f t="shared" si="1"/>
        <v>I</v>
      </c>
      <c r="C23" s="42">
        <f t="shared" si="2"/>
        <v>17793.437999999998</v>
      </c>
      <c r="D23" s="11" t="str">
        <f t="shared" si="3"/>
        <v>vis</v>
      </c>
      <c r="E23" s="50">
        <f>VLOOKUP(C23,Active!C$21:E$973,3,FALSE)</f>
        <v>-8003.9990380901518</v>
      </c>
      <c r="F23" s="14" t="s">
        <v>65</v>
      </c>
      <c r="G23" s="11" t="str">
        <f t="shared" si="4"/>
        <v>17793.438</v>
      </c>
      <c r="H23" s="42">
        <f t="shared" si="5"/>
        <v>-8004</v>
      </c>
      <c r="I23" s="51" t="s">
        <v>74</v>
      </c>
      <c r="J23" s="52" t="s">
        <v>75</v>
      </c>
      <c r="K23" s="51">
        <v>-8004</v>
      </c>
      <c r="L23" s="51" t="s">
        <v>76</v>
      </c>
      <c r="M23" s="52" t="s">
        <v>71</v>
      </c>
      <c r="N23" s="52"/>
      <c r="O23" s="53" t="s">
        <v>72</v>
      </c>
      <c r="P23" s="53" t="s">
        <v>73</v>
      </c>
    </row>
    <row r="24" spans="1:16" ht="12.75" customHeight="1" thickBot="1" x14ac:dyDescent="0.25">
      <c r="A24" s="42" t="str">
        <f t="shared" si="0"/>
        <v> BZ 19.47 </v>
      </c>
      <c r="B24" s="14" t="str">
        <f t="shared" si="1"/>
        <v>I</v>
      </c>
      <c r="C24" s="42">
        <f t="shared" si="2"/>
        <v>28100.420999999998</v>
      </c>
      <c r="D24" s="11" t="str">
        <f t="shared" si="3"/>
        <v>vis</v>
      </c>
      <c r="E24" s="50">
        <f>VLOOKUP(C24,Active!C$21:E$973,3,FALSE)</f>
        <v>-4375.0135114533123</v>
      </c>
      <c r="F24" s="14" t="s">
        <v>65</v>
      </c>
      <c r="G24" s="11" t="str">
        <f t="shared" si="4"/>
        <v>28100.421</v>
      </c>
      <c r="H24" s="42">
        <f t="shared" si="5"/>
        <v>-4375</v>
      </c>
      <c r="I24" s="51" t="s">
        <v>77</v>
      </c>
      <c r="J24" s="52" t="s">
        <v>78</v>
      </c>
      <c r="K24" s="51">
        <v>-4375</v>
      </c>
      <c r="L24" s="51" t="s">
        <v>79</v>
      </c>
      <c r="M24" s="52" t="s">
        <v>71</v>
      </c>
      <c r="N24" s="52"/>
      <c r="O24" s="53" t="s">
        <v>80</v>
      </c>
      <c r="P24" s="53" t="s">
        <v>81</v>
      </c>
    </row>
    <row r="25" spans="1:16" ht="12.75" customHeight="1" thickBot="1" x14ac:dyDescent="0.25">
      <c r="A25" s="42" t="str">
        <f t="shared" si="0"/>
        <v> PZ 10.330 </v>
      </c>
      <c r="B25" s="14" t="str">
        <f t="shared" si="1"/>
        <v>I</v>
      </c>
      <c r="C25" s="42">
        <f t="shared" si="2"/>
        <v>29165.41</v>
      </c>
      <c r="D25" s="11" t="str">
        <f t="shared" si="3"/>
        <v>vis</v>
      </c>
      <c r="E25" s="50">
        <f>VLOOKUP(C25,Active!C$21:E$973,3,FALSE)</f>
        <v>-4000.0415466186514</v>
      </c>
      <c r="F25" s="14" t="s">
        <v>65</v>
      </c>
      <c r="G25" s="11" t="str">
        <f t="shared" si="4"/>
        <v>29165.410</v>
      </c>
      <c r="H25" s="42">
        <f t="shared" si="5"/>
        <v>-4000</v>
      </c>
      <c r="I25" s="51" t="s">
        <v>82</v>
      </c>
      <c r="J25" s="52" t="s">
        <v>83</v>
      </c>
      <c r="K25" s="51">
        <v>-4000</v>
      </c>
      <c r="L25" s="51" t="s">
        <v>84</v>
      </c>
      <c r="M25" s="52" t="s">
        <v>71</v>
      </c>
      <c r="N25" s="52"/>
      <c r="O25" s="53" t="s">
        <v>72</v>
      </c>
      <c r="P25" s="53" t="s">
        <v>73</v>
      </c>
    </row>
    <row r="26" spans="1:16" ht="12.75" customHeight="1" thickBot="1" x14ac:dyDescent="0.25">
      <c r="A26" s="42" t="str">
        <f t="shared" si="0"/>
        <v> PZ 10.330 </v>
      </c>
      <c r="B26" s="14" t="str">
        <f t="shared" si="1"/>
        <v>II</v>
      </c>
      <c r="C26" s="42">
        <f t="shared" si="2"/>
        <v>29462.26</v>
      </c>
      <c r="D26" s="11" t="str">
        <f t="shared" si="3"/>
        <v>vis</v>
      </c>
      <c r="E26" s="50">
        <f>VLOOKUP(C26,Active!C$21:E$973,3,FALSE)</f>
        <v>-3895.5236335123486</v>
      </c>
      <c r="F26" s="14" t="s">
        <v>65</v>
      </c>
      <c r="G26" s="11" t="str">
        <f t="shared" si="4"/>
        <v>29462.260</v>
      </c>
      <c r="H26" s="42">
        <f t="shared" si="5"/>
        <v>-3895.5</v>
      </c>
      <c r="I26" s="51" t="s">
        <v>85</v>
      </c>
      <c r="J26" s="52" t="s">
        <v>86</v>
      </c>
      <c r="K26" s="51">
        <v>-3895.5</v>
      </c>
      <c r="L26" s="51" t="s">
        <v>87</v>
      </c>
      <c r="M26" s="52" t="s">
        <v>71</v>
      </c>
      <c r="N26" s="52"/>
      <c r="O26" s="53" t="s">
        <v>72</v>
      </c>
      <c r="P26" s="53" t="s">
        <v>73</v>
      </c>
    </row>
    <row r="27" spans="1:16" ht="12.75" customHeight="1" thickBot="1" x14ac:dyDescent="0.25">
      <c r="A27" s="42" t="str">
        <f t="shared" si="0"/>
        <v> PZ 10.330 </v>
      </c>
      <c r="B27" s="14" t="str">
        <f t="shared" si="1"/>
        <v>I</v>
      </c>
      <c r="C27" s="42">
        <f t="shared" si="2"/>
        <v>29486.46</v>
      </c>
      <c r="D27" s="11" t="str">
        <f t="shared" si="3"/>
        <v>vis</v>
      </c>
      <c r="E27" s="50">
        <f>VLOOKUP(C27,Active!C$21:E$973,3,FALSE)</f>
        <v>-3887.0030557890118</v>
      </c>
      <c r="F27" s="14" t="s">
        <v>65</v>
      </c>
      <c r="G27" s="11" t="str">
        <f t="shared" si="4"/>
        <v>29486.46</v>
      </c>
      <c r="H27" s="42">
        <f t="shared" si="5"/>
        <v>-3887</v>
      </c>
      <c r="I27" s="51" t="s">
        <v>88</v>
      </c>
      <c r="J27" s="52" t="s">
        <v>89</v>
      </c>
      <c r="K27" s="51">
        <v>-3887</v>
      </c>
      <c r="L27" s="51" t="s">
        <v>90</v>
      </c>
      <c r="M27" s="52" t="s">
        <v>71</v>
      </c>
      <c r="N27" s="52"/>
      <c r="O27" s="53" t="s">
        <v>72</v>
      </c>
      <c r="P27" s="53" t="s">
        <v>73</v>
      </c>
    </row>
    <row r="28" spans="1:16" ht="12.75" customHeight="1" thickBot="1" x14ac:dyDescent="0.25">
      <c r="A28" s="42" t="str">
        <f t="shared" si="0"/>
        <v> MHAR 15.6 </v>
      </c>
      <c r="B28" s="14" t="str">
        <f t="shared" si="1"/>
        <v>I</v>
      </c>
      <c r="C28" s="42">
        <f t="shared" si="2"/>
        <v>30321.439999999999</v>
      </c>
      <c r="D28" s="11" t="str">
        <f t="shared" si="3"/>
        <v>vis</v>
      </c>
      <c r="E28" s="50">
        <f>VLOOKUP(C28,Active!C$21:E$973,3,FALSE)</f>
        <v>-3593.0149571348052</v>
      </c>
      <c r="F28" s="14" t="s">
        <v>65</v>
      </c>
      <c r="G28" s="11" t="str">
        <f t="shared" si="4"/>
        <v>30321.440</v>
      </c>
      <c r="H28" s="42">
        <f t="shared" si="5"/>
        <v>-3593</v>
      </c>
      <c r="I28" s="51" t="s">
        <v>91</v>
      </c>
      <c r="J28" s="52" t="s">
        <v>92</v>
      </c>
      <c r="K28" s="51">
        <v>-3593</v>
      </c>
      <c r="L28" s="51" t="s">
        <v>93</v>
      </c>
      <c r="M28" s="52" t="s">
        <v>71</v>
      </c>
      <c r="N28" s="52"/>
      <c r="O28" s="53" t="s">
        <v>94</v>
      </c>
      <c r="P28" s="53" t="s">
        <v>95</v>
      </c>
    </row>
    <row r="29" spans="1:16" ht="12.75" customHeight="1" thickBot="1" x14ac:dyDescent="0.25">
      <c r="A29" s="42" t="str">
        <f t="shared" si="0"/>
        <v> BZ 19.47 </v>
      </c>
      <c r="B29" s="14" t="str">
        <f t="shared" si="1"/>
        <v>I</v>
      </c>
      <c r="C29" s="42">
        <f t="shared" si="2"/>
        <v>30940.59</v>
      </c>
      <c r="D29" s="11" t="str">
        <f t="shared" si="3"/>
        <v>vis</v>
      </c>
      <c r="E29" s="50">
        <f>VLOOKUP(C29,Active!C$21:E$973,3,FALSE)</f>
        <v>-3375.0184407131519</v>
      </c>
      <c r="F29" s="14" t="s">
        <v>65</v>
      </c>
      <c r="G29" s="11" t="str">
        <f t="shared" si="4"/>
        <v>30940.59</v>
      </c>
      <c r="H29" s="42">
        <f t="shared" si="5"/>
        <v>-3375</v>
      </c>
      <c r="I29" s="51" t="s">
        <v>96</v>
      </c>
      <c r="J29" s="52" t="s">
        <v>97</v>
      </c>
      <c r="K29" s="51">
        <v>-3375</v>
      </c>
      <c r="L29" s="51" t="s">
        <v>98</v>
      </c>
      <c r="M29" s="52" t="s">
        <v>99</v>
      </c>
      <c r="N29" s="52"/>
      <c r="O29" s="53" t="s">
        <v>80</v>
      </c>
      <c r="P29" s="53" t="s">
        <v>81</v>
      </c>
    </row>
    <row r="30" spans="1:16" ht="12.75" customHeight="1" thickBot="1" x14ac:dyDescent="0.25">
      <c r="A30" s="42" t="str">
        <f t="shared" si="0"/>
        <v> MHAR 15.6 </v>
      </c>
      <c r="B30" s="14" t="str">
        <f t="shared" si="1"/>
        <v>I</v>
      </c>
      <c r="C30" s="42">
        <f t="shared" si="2"/>
        <v>31443.330999999998</v>
      </c>
      <c r="D30" s="11" t="str">
        <f t="shared" si="3"/>
        <v>vis</v>
      </c>
      <c r="E30" s="50">
        <f>VLOOKUP(C30,Active!C$21:E$973,3,FALSE)</f>
        <v>-3198.0083677706693</v>
      </c>
      <c r="F30" s="14" t="s">
        <v>65</v>
      </c>
      <c r="G30" s="11" t="str">
        <f t="shared" si="4"/>
        <v>31443.331</v>
      </c>
      <c r="H30" s="42">
        <f t="shared" si="5"/>
        <v>-3198</v>
      </c>
      <c r="I30" s="51" t="s">
        <v>100</v>
      </c>
      <c r="J30" s="52" t="s">
        <v>101</v>
      </c>
      <c r="K30" s="51">
        <v>-3198</v>
      </c>
      <c r="L30" s="51" t="s">
        <v>102</v>
      </c>
      <c r="M30" s="52" t="s">
        <v>71</v>
      </c>
      <c r="N30" s="52"/>
      <c r="O30" s="53" t="s">
        <v>94</v>
      </c>
      <c r="P30" s="53" t="s">
        <v>95</v>
      </c>
    </row>
    <row r="31" spans="1:16" ht="12.75" customHeight="1" thickBot="1" x14ac:dyDescent="0.25">
      <c r="A31" s="42" t="str">
        <f t="shared" si="0"/>
        <v> PZ 10.330 </v>
      </c>
      <c r="B31" s="14" t="str">
        <f t="shared" si="1"/>
        <v>I</v>
      </c>
      <c r="C31" s="42">
        <f t="shared" si="2"/>
        <v>33329.18</v>
      </c>
      <c r="D31" s="11" t="str">
        <f t="shared" si="3"/>
        <v>vis</v>
      </c>
      <c r="E31" s="50">
        <f>VLOOKUP(C31,Active!C$21:E$973,3,FALSE)</f>
        <v>-2534.019814920377</v>
      </c>
      <c r="F31" s="14" t="s">
        <v>65</v>
      </c>
      <c r="G31" s="11" t="str">
        <f t="shared" si="4"/>
        <v>33329.18</v>
      </c>
      <c r="H31" s="42">
        <f t="shared" si="5"/>
        <v>-2534</v>
      </c>
      <c r="I31" s="51" t="s">
        <v>103</v>
      </c>
      <c r="J31" s="52" t="s">
        <v>104</v>
      </c>
      <c r="K31" s="51">
        <v>-2534</v>
      </c>
      <c r="L31" s="51" t="s">
        <v>105</v>
      </c>
      <c r="M31" s="52" t="s">
        <v>71</v>
      </c>
      <c r="N31" s="52"/>
      <c r="O31" s="53" t="s">
        <v>72</v>
      </c>
      <c r="P31" s="53" t="s">
        <v>73</v>
      </c>
    </row>
    <row r="32" spans="1:16" ht="12.75" customHeight="1" thickBot="1" x14ac:dyDescent="0.25">
      <c r="A32" s="42" t="str">
        <f t="shared" si="0"/>
        <v> PZ 10.330 </v>
      </c>
      <c r="B32" s="14" t="str">
        <f t="shared" si="1"/>
        <v>I</v>
      </c>
      <c r="C32" s="42">
        <f t="shared" si="2"/>
        <v>33357.538999999997</v>
      </c>
      <c r="D32" s="11" t="str">
        <f t="shared" si="3"/>
        <v>vis</v>
      </c>
      <c r="E32" s="50">
        <f>VLOOKUP(C32,Active!C$21:E$973,3,FALSE)</f>
        <v>-2524.0348949345885</v>
      </c>
      <c r="F32" s="14" t="s">
        <v>65</v>
      </c>
      <c r="G32" s="11" t="str">
        <f t="shared" si="4"/>
        <v>33357.539</v>
      </c>
      <c r="H32" s="42">
        <f t="shared" si="5"/>
        <v>-2524</v>
      </c>
      <c r="I32" s="51" t="s">
        <v>106</v>
      </c>
      <c r="J32" s="52" t="s">
        <v>107</v>
      </c>
      <c r="K32" s="51">
        <v>-2524</v>
      </c>
      <c r="L32" s="51" t="s">
        <v>108</v>
      </c>
      <c r="M32" s="52" t="s">
        <v>71</v>
      </c>
      <c r="N32" s="52"/>
      <c r="O32" s="53" t="s">
        <v>72</v>
      </c>
      <c r="P32" s="53" t="s">
        <v>73</v>
      </c>
    </row>
    <row r="33" spans="1:16" ht="12.75" customHeight="1" thickBot="1" x14ac:dyDescent="0.25">
      <c r="A33" s="42" t="str">
        <f t="shared" si="0"/>
        <v> MHAR 15.6 </v>
      </c>
      <c r="B33" s="14" t="str">
        <f t="shared" si="1"/>
        <v>I</v>
      </c>
      <c r="C33" s="42">
        <f t="shared" si="2"/>
        <v>33925.544000000002</v>
      </c>
      <c r="D33" s="11" t="str">
        <f t="shared" si="3"/>
        <v>vis</v>
      </c>
      <c r="E33" s="50">
        <f>VLOOKUP(C33,Active!C$21:E$973,3,FALSE)</f>
        <v>-2324.0460209782259</v>
      </c>
      <c r="F33" s="14" t="s">
        <v>65</v>
      </c>
      <c r="G33" s="11" t="str">
        <f t="shared" si="4"/>
        <v>33925.544</v>
      </c>
      <c r="H33" s="42">
        <f t="shared" si="5"/>
        <v>-2324</v>
      </c>
      <c r="I33" s="51" t="s">
        <v>109</v>
      </c>
      <c r="J33" s="52" t="s">
        <v>110</v>
      </c>
      <c r="K33" s="51">
        <v>-2324</v>
      </c>
      <c r="L33" s="51" t="s">
        <v>111</v>
      </c>
      <c r="M33" s="52" t="s">
        <v>71</v>
      </c>
      <c r="N33" s="52"/>
      <c r="O33" s="53" t="s">
        <v>94</v>
      </c>
      <c r="P33" s="53" t="s">
        <v>95</v>
      </c>
    </row>
    <row r="34" spans="1:16" ht="12.75" customHeight="1" thickBot="1" x14ac:dyDescent="0.25">
      <c r="A34" s="42" t="str">
        <f t="shared" si="0"/>
        <v> MHAR 15.6 </v>
      </c>
      <c r="B34" s="14" t="str">
        <f t="shared" si="1"/>
        <v>I</v>
      </c>
      <c r="C34" s="42">
        <f t="shared" si="2"/>
        <v>34121.54</v>
      </c>
      <c r="D34" s="11" t="str">
        <f t="shared" si="3"/>
        <v>vis</v>
      </c>
      <c r="E34" s="50">
        <f>VLOOKUP(C34,Active!C$21:E$973,3,FALSE)</f>
        <v>-2255.0377915789231</v>
      </c>
      <c r="F34" s="14" t="s">
        <v>65</v>
      </c>
      <c r="G34" s="11" t="str">
        <f t="shared" si="4"/>
        <v>34121.540</v>
      </c>
      <c r="H34" s="42">
        <f t="shared" si="5"/>
        <v>-2255</v>
      </c>
      <c r="I34" s="51" t="s">
        <v>112</v>
      </c>
      <c r="J34" s="52" t="s">
        <v>113</v>
      </c>
      <c r="K34" s="51">
        <v>-2255</v>
      </c>
      <c r="L34" s="51" t="s">
        <v>114</v>
      </c>
      <c r="M34" s="52" t="s">
        <v>71</v>
      </c>
      <c r="N34" s="52"/>
      <c r="O34" s="53" t="s">
        <v>94</v>
      </c>
      <c r="P34" s="53" t="s">
        <v>95</v>
      </c>
    </row>
    <row r="35" spans="1:16" ht="12.75" customHeight="1" thickBot="1" x14ac:dyDescent="0.25">
      <c r="A35" s="42" t="str">
        <f t="shared" si="0"/>
        <v> MHAR 15.6 </v>
      </c>
      <c r="B35" s="14" t="str">
        <f t="shared" si="1"/>
        <v>I</v>
      </c>
      <c r="C35" s="42">
        <f t="shared" si="2"/>
        <v>35223.491999999998</v>
      </c>
      <c r="D35" s="11" t="str">
        <f t="shared" si="3"/>
        <v>vis</v>
      </c>
      <c r="E35" s="50">
        <f>VLOOKUP(C35,Active!C$21:E$973,3,FALSE)</f>
        <v>-1867.0515244968383</v>
      </c>
      <c r="F35" s="14" t="s">
        <v>65</v>
      </c>
      <c r="G35" s="11" t="str">
        <f t="shared" si="4"/>
        <v>35223.492</v>
      </c>
      <c r="H35" s="42">
        <f t="shared" si="5"/>
        <v>-1867</v>
      </c>
      <c r="I35" s="51" t="s">
        <v>115</v>
      </c>
      <c r="J35" s="52" t="s">
        <v>116</v>
      </c>
      <c r="K35" s="51">
        <v>-1867</v>
      </c>
      <c r="L35" s="51" t="s">
        <v>117</v>
      </c>
      <c r="M35" s="52" t="s">
        <v>71</v>
      </c>
      <c r="N35" s="52"/>
      <c r="O35" s="53" t="s">
        <v>94</v>
      </c>
      <c r="P35" s="53" t="s">
        <v>95</v>
      </c>
    </row>
    <row r="36" spans="1:16" ht="12.75" customHeight="1" thickBot="1" x14ac:dyDescent="0.25">
      <c r="A36" s="42" t="str">
        <f t="shared" si="0"/>
        <v> MHAR 15.6 </v>
      </c>
      <c r="B36" s="14" t="str">
        <f t="shared" si="1"/>
        <v>I</v>
      </c>
      <c r="C36" s="42">
        <f t="shared" si="2"/>
        <v>35757.527999999998</v>
      </c>
      <c r="D36" s="11" t="str">
        <f t="shared" si="3"/>
        <v>vis</v>
      </c>
      <c r="E36" s="50">
        <f>VLOOKUP(C36,Active!C$21:E$973,3,FALSE)</f>
        <v>-1679.0227953621311</v>
      </c>
      <c r="F36" s="14" t="s">
        <v>65</v>
      </c>
      <c r="G36" s="11" t="str">
        <f t="shared" si="4"/>
        <v>35757.528</v>
      </c>
      <c r="H36" s="42">
        <f t="shared" si="5"/>
        <v>-1679</v>
      </c>
      <c r="I36" s="51" t="s">
        <v>118</v>
      </c>
      <c r="J36" s="52" t="s">
        <v>119</v>
      </c>
      <c r="K36" s="51">
        <v>-1679</v>
      </c>
      <c r="L36" s="51" t="s">
        <v>120</v>
      </c>
      <c r="M36" s="52" t="s">
        <v>71</v>
      </c>
      <c r="N36" s="52"/>
      <c r="O36" s="53" t="s">
        <v>94</v>
      </c>
      <c r="P36" s="53" t="s">
        <v>95</v>
      </c>
    </row>
    <row r="37" spans="1:16" ht="12.75" customHeight="1" thickBot="1" x14ac:dyDescent="0.25">
      <c r="A37" s="42" t="str">
        <f t="shared" si="0"/>
        <v> MHAR 15.6 </v>
      </c>
      <c r="B37" s="14" t="str">
        <f t="shared" si="1"/>
        <v>I</v>
      </c>
      <c r="C37" s="42">
        <f t="shared" si="2"/>
        <v>35814.322</v>
      </c>
      <c r="D37" s="11" t="str">
        <f t="shared" si="3"/>
        <v>vis</v>
      </c>
      <c r="E37" s="50">
        <f>VLOOKUP(C37,Active!C$21:E$973,3,FALSE)</f>
        <v>-1659.0261965514201</v>
      </c>
      <c r="F37" s="14" t="s">
        <v>65</v>
      </c>
      <c r="G37" s="11" t="str">
        <f t="shared" si="4"/>
        <v>35814.322</v>
      </c>
      <c r="H37" s="42">
        <f t="shared" si="5"/>
        <v>-1659</v>
      </c>
      <c r="I37" s="51" t="s">
        <v>121</v>
      </c>
      <c r="J37" s="52" t="s">
        <v>122</v>
      </c>
      <c r="K37" s="51">
        <v>-1659</v>
      </c>
      <c r="L37" s="51" t="s">
        <v>123</v>
      </c>
      <c r="M37" s="52" t="s">
        <v>71</v>
      </c>
      <c r="N37" s="52"/>
      <c r="O37" s="53" t="s">
        <v>94</v>
      </c>
      <c r="P37" s="53" t="s">
        <v>95</v>
      </c>
    </row>
    <row r="38" spans="1:16" ht="12.75" customHeight="1" thickBot="1" x14ac:dyDescent="0.25">
      <c r="A38" s="42" t="str">
        <f t="shared" si="0"/>
        <v> MHAR 15.6 </v>
      </c>
      <c r="B38" s="14" t="str">
        <f t="shared" si="1"/>
        <v>I</v>
      </c>
      <c r="C38" s="42">
        <f t="shared" si="2"/>
        <v>36541.355000000003</v>
      </c>
      <c r="D38" s="11" t="str">
        <f t="shared" si="3"/>
        <v>vis</v>
      </c>
      <c r="E38" s="50">
        <f>VLOOKUP(C38,Active!C$21:E$973,3,FALSE)</f>
        <v>-1403.0451558931234</v>
      </c>
      <c r="F38" s="14" t="s">
        <v>65</v>
      </c>
      <c r="G38" s="11" t="str">
        <f t="shared" si="4"/>
        <v>36541.355</v>
      </c>
      <c r="H38" s="42">
        <f t="shared" si="5"/>
        <v>-1403</v>
      </c>
      <c r="I38" s="51" t="s">
        <v>124</v>
      </c>
      <c r="J38" s="52" t="s">
        <v>125</v>
      </c>
      <c r="K38" s="51">
        <v>-1403</v>
      </c>
      <c r="L38" s="51" t="s">
        <v>126</v>
      </c>
      <c r="M38" s="52" t="s">
        <v>71</v>
      </c>
      <c r="N38" s="52"/>
      <c r="O38" s="53" t="s">
        <v>94</v>
      </c>
      <c r="P38" s="53" t="s">
        <v>95</v>
      </c>
    </row>
    <row r="39" spans="1:16" ht="12.75" customHeight="1" thickBot="1" x14ac:dyDescent="0.25">
      <c r="A39" s="42" t="str">
        <f t="shared" si="0"/>
        <v> MHAR 15.6 </v>
      </c>
      <c r="B39" s="14" t="str">
        <f t="shared" si="1"/>
        <v>I</v>
      </c>
      <c r="C39" s="42">
        <f t="shared" si="2"/>
        <v>36598.26</v>
      </c>
      <c r="D39" s="11" t="str">
        <f t="shared" si="3"/>
        <v>vis</v>
      </c>
      <c r="E39" s="50">
        <f>VLOOKUP(C39,Active!C$21:E$973,3,FALSE)</f>
        <v>-1383.0094750936823</v>
      </c>
      <c r="F39" s="14" t="s">
        <v>65</v>
      </c>
      <c r="G39" s="11" t="str">
        <f t="shared" si="4"/>
        <v>36598.260</v>
      </c>
      <c r="H39" s="42">
        <f t="shared" si="5"/>
        <v>-1383</v>
      </c>
      <c r="I39" s="51" t="s">
        <v>127</v>
      </c>
      <c r="J39" s="52" t="s">
        <v>128</v>
      </c>
      <c r="K39" s="51">
        <v>-1383</v>
      </c>
      <c r="L39" s="51" t="s">
        <v>129</v>
      </c>
      <c r="M39" s="52" t="s">
        <v>71</v>
      </c>
      <c r="N39" s="52"/>
      <c r="O39" s="53" t="s">
        <v>94</v>
      </c>
      <c r="P39" s="53" t="s">
        <v>95</v>
      </c>
    </row>
    <row r="40" spans="1:16" ht="12.75" customHeight="1" thickBot="1" x14ac:dyDescent="0.25">
      <c r="A40" s="42" t="str">
        <f t="shared" si="0"/>
        <v> MHAR 15.6 </v>
      </c>
      <c r="B40" s="14" t="str">
        <f t="shared" si="1"/>
        <v>II</v>
      </c>
      <c r="C40" s="42">
        <f t="shared" si="2"/>
        <v>36815.552000000003</v>
      </c>
      <c r="D40" s="11" t="str">
        <f t="shared" si="3"/>
        <v>vis</v>
      </c>
      <c r="E40" s="50">
        <f>VLOOKUP(C40,Active!C$21:E$973,3,FALSE)</f>
        <v>-1306.5031372978426</v>
      </c>
      <c r="F40" s="14" t="s">
        <v>65</v>
      </c>
      <c r="G40" s="11" t="str">
        <f t="shared" si="4"/>
        <v>36815.552</v>
      </c>
      <c r="H40" s="42">
        <f t="shared" si="5"/>
        <v>-1306.5</v>
      </c>
      <c r="I40" s="51" t="s">
        <v>130</v>
      </c>
      <c r="J40" s="52" t="s">
        <v>131</v>
      </c>
      <c r="K40" s="51">
        <v>-1306.5</v>
      </c>
      <c r="L40" s="51" t="s">
        <v>132</v>
      </c>
      <c r="M40" s="52" t="s">
        <v>71</v>
      </c>
      <c r="N40" s="52"/>
      <c r="O40" s="53" t="s">
        <v>94</v>
      </c>
      <c r="P40" s="53" t="s">
        <v>95</v>
      </c>
    </row>
    <row r="41" spans="1:16" ht="12.75" customHeight="1" thickBot="1" x14ac:dyDescent="0.25">
      <c r="A41" s="42" t="str">
        <f t="shared" si="0"/>
        <v> MHAR 15.6 </v>
      </c>
      <c r="B41" s="14" t="str">
        <f t="shared" si="1"/>
        <v>II</v>
      </c>
      <c r="C41" s="42">
        <f t="shared" si="2"/>
        <v>37082.451999999997</v>
      </c>
      <c r="D41" s="11" t="str">
        <f t="shared" si="3"/>
        <v>vis</v>
      </c>
      <c r="E41" s="50">
        <f>VLOOKUP(C41,Active!C$21:E$973,3,FALSE)</f>
        <v>-1212.530319349142</v>
      </c>
      <c r="F41" s="14" t="s">
        <v>65</v>
      </c>
      <c r="G41" s="11" t="str">
        <f t="shared" si="4"/>
        <v>37082.452</v>
      </c>
      <c r="H41" s="42">
        <f t="shared" si="5"/>
        <v>-1212.5</v>
      </c>
      <c r="I41" s="51" t="s">
        <v>133</v>
      </c>
      <c r="J41" s="52" t="s">
        <v>134</v>
      </c>
      <c r="K41" s="51">
        <v>-1212.5</v>
      </c>
      <c r="L41" s="51" t="s">
        <v>135</v>
      </c>
      <c r="M41" s="52" t="s">
        <v>71</v>
      </c>
      <c r="N41" s="52"/>
      <c r="O41" s="53" t="s">
        <v>94</v>
      </c>
      <c r="P41" s="53" t="s">
        <v>95</v>
      </c>
    </row>
    <row r="42" spans="1:16" ht="12.75" customHeight="1" thickBot="1" x14ac:dyDescent="0.25">
      <c r="A42" s="42" t="str">
        <f t="shared" si="0"/>
        <v> MHAR 15.6 </v>
      </c>
      <c r="B42" s="14" t="str">
        <f t="shared" si="1"/>
        <v>II</v>
      </c>
      <c r="C42" s="42">
        <f t="shared" si="2"/>
        <v>37349.451999999997</v>
      </c>
      <c r="D42" s="11" t="str">
        <f t="shared" si="3"/>
        <v>vis</v>
      </c>
      <c r="E42" s="50">
        <f>VLOOKUP(C42,Active!C$21:E$973,3,FALSE)</f>
        <v>-1118.5222924015827</v>
      </c>
      <c r="F42" s="14" t="s">
        <v>65</v>
      </c>
      <c r="G42" s="11" t="str">
        <f t="shared" si="4"/>
        <v>37349.452</v>
      </c>
      <c r="H42" s="42">
        <f t="shared" si="5"/>
        <v>-1118.5</v>
      </c>
      <c r="I42" s="51" t="s">
        <v>136</v>
      </c>
      <c r="J42" s="52" t="s">
        <v>137</v>
      </c>
      <c r="K42" s="51">
        <v>-1118.5</v>
      </c>
      <c r="L42" s="51" t="s">
        <v>138</v>
      </c>
      <c r="M42" s="52" t="s">
        <v>71</v>
      </c>
      <c r="N42" s="52"/>
      <c r="O42" s="53" t="s">
        <v>94</v>
      </c>
      <c r="P42" s="53" t="s">
        <v>95</v>
      </c>
    </row>
    <row r="43" spans="1:16" ht="12.75" customHeight="1" thickBot="1" x14ac:dyDescent="0.25">
      <c r="A43" s="42" t="str">
        <f t="shared" ref="A43:A62" si="6">P43</f>
        <v> MHAR 15.6 </v>
      </c>
      <c r="B43" s="14" t="str">
        <f t="shared" ref="B43:B62" si="7">IF(H43=INT(H43),"I","II")</f>
        <v>I</v>
      </c>
      <c r="C43" s="42">
        <f t="shared" ref="C43:C62" si="8">1*G43</f>
        <v>37944.51</v>
      </c>
      <c r="D43" s="11" t="str">
        <f t="shared" ref="D43:D62" si="9">VLOOKUP(F43,I$1:J$5,2,FALSE)</f>
        <v>vis</v>
      </c>
      <c r="E43" s="50">
        <f>VLOOKUP(C43,Active!C$21:E$973,3,FALSE)</f>
        <v>-909.0083279844996</v>
      </c>
      <c r="F43" s="14" t="s">
        <v>65</v>
      </c>
      <c r="G43" s="11" t="str">
        <f t="shared" ref="G43:G62" si="10">MID(I43,3,LEN(I43)-3)</f>
        <v>37944.510</v>
      </c>
      <c r="H43" s="42">
        <f t="shared" ref="H43:H62" si="11">1*K43</f>
        <v>-909</v>
      </c>
      <c r="I43" s="51" t="s">
        <v>139</v>
      </c>
      <c r="J43" s="52" t="s">
        <v>140</v>
      </c>
      <c r="K43" s="51">
        <v>-909</v>
      </c>
      <c r="L43" s="51" t="s">
        <v>102</v>
      </c>
      <c r="M43" s="52" t="s">
        <v>71</v>
      </c>
      <c r="N43" s="52"/>
      <c r="O43" s="53" t="s">
        <v>94</v>
      </c>
      <c r="P43" s="53" t="s">
        <v>95</v>
      </c>
    </row>
    <row r="44" spans="1:16" ht="12.75" customHeight="1" thickBot="1" x14ac:dyDescent="0.25">
      <c r="A44" s="42" t="str">
        <f t="shared" si="6"/>
        <v> MHAR 15.6 </v>
      </c>
      <c r="B44" s="14" t="str">
        <f t="shared" si="7"/>
        <v>I</v>
      </c>
      <c r="C44" s="42">
        <f t="shared" si="8"/>
        <v>38373.381999999998</v>
      </c>
      <c r="D44" s="11" t="str">
        <f t="shared" si="9"/>
        <v>vis</v>
      </c>
      <c r="E44" s="50">
        <f>VLOOKUP(C44,Active!C$21:E$973,3,FALSE)</f>
        <v>-758.00679040752095</v>
      </c>
      <c r="F44" s="14" t="s">
        <v>65</v>
      </c>
      <c r="G44" s="11" t="str">
        <f t="shared" si="10"/>
        <v>38373.382</v>
      </c>
      <c r="H44" s="42">
        <f t="shared" si="11"/>
        <v>-758</v>
      </c>
      <c r="I44" s="51" t="s">
        <v>141</v>
      </c>
      <c r="J44" s="52" t="s">
        <v>142</v>
      </c>
      <c r="K44" s="51">
        <v>-758</v>
      </c>
      <c r="L44" s="51" t="s">
        <v>143</v>
      </c>
      <c r="M44" s="52" t="s">
        <v>71</v>
      </c>
      <c r="N44" s="52"/>
      <c r="O44" s="53" t="s">
        <v>94</v>
      </c>
      <c r="P44" s="53" t="s">
        <v>95</v>
      </c>
    </row>
    <row r="45" spans="1:16" ht="12.75" customHeight="1" thickBot="1" x14ac:dyDescent="0.25">
      <c r="A45" s="42" t="str">
        <f t="shared" si="6"/>
        <v> MHAR 15.6 </v>
      </c>
      <c r="B45" s="14" t="str">
        <f t="shared" si="7"/>
        <v>I</v>
      </c>
      <c r="C45" s="42">
        <f t="shared" si="8"/>
        <v>38410.343999999997</v>
      </c>
      <c r="D45" s="11" t="str">
        <f t="shared" si="9"/>
        <v>vis</v>
      </c>
      <c r="E45" s="50">
        <f>VLOOKUP(C45,Active!C$21:E$973,3,FALSE)</f>
        <v>-744.9928402500841</v>
      </c>
      <c r="F45" s="14" t="s">
        <v>65</v>
      </c>
      <c r="G45" s="11" t="str">
        <f t="shared" si="10"/>
        <v>38410.344</v>
      </c>
      <c r="H45" s="42">
        <f t="shared" si="11"/>
        <v>-745</v>
      </c>
      <c r="I45" s="51" t="s">
        <v>144</v>
      </c>
      <c r="J45" s="52" t="s">
        <v>145</v>
      </c>
      <c r="K45" s="51">
        <v>-745</v>
      </c>
      <c r="L45" s="51" t="s">
        <v>146</v>
      </c>
      <c r="M45" s="52" t="s">
        <v>71</v>
      </c>
      <c r="N45" s="52"/>
      <c r="O45" s="53" t="s">
        <v>94</v>
      </c>
      <c r="P45" s="53" t="s">
        <v>95</v>
      </c>
    </row>
    <row r="46" spans="1:16" ht="12.75" customHeight="1" thickBot="1" x14ac:dyDescent="0.25">
      <c r="A46" s="42" t="str">
        <f t="shared" si="6"/>
        <v> MHAR 15.6 </v>
      </c>
      <c r="B46" s="14" t="str">
        <f t="shared" si="7"/>
        <v>I</v>
      </c>
      <c r="C46" s="42">
        <f t="shared" si="8"/>
        <v>39029.461000000003</v>
      </c>
      <c r="D46" s="11" t="str">
        <f t="shared" si="9"/>
        <v>vis</v>
      </c>
      <c r="E46" s="50">
        <f>VLOOKUP(C46,Active!C$21:E$973,3,FALSE)</f>
        <v>-527.00794279805177</v>
      </c>
      <c r="F46" s="14" t="s">
        <v>65</v>
      </c>
      <c r="G46" s="11" t="str">
        <f t="shared" si="10"/>
        <v>39029.461</v>
      </c>
      <c r="H46" s="42">
        <f t="shared" si="11"/>
        <v>-527</v>
      </c>
      <c r="I46" s="51" t="s">
        <v>147</v>
      </c>
      <c r="J46" s="52" t="s">
        <v>148</v>
      </c>
      <c r="K46" s="51">
        <v>-527</v>
      </c>
      <c r="L46" s="51" t="s">
        <v>149</v>
      </c>
      <c r="M46" s="52" t="s">
        <v>71</v>
      </c>
      <c r="N46" s="52"/>
      <c r="O46" s="53" t="s">
        <v>94</v>
      </c>
      <c r="P46" s="53" t="s">
        <v>95</v>
      </c>
    </row>
    <row r="47" spans="1:16" ht="12.75" customHeight="1" thickBot="1" x14ac:dyDescent="0.25">
      <c r="A47" s="42" t="str">
        <f t="shared" si="6"/>
        <v> MHAR 15.6 </v>
      </c>
      <c r="B47" s="14" t="str">
        <f t="shared" si="7"/>
        <v>II</v>
      </c>
      <c r="C47" s="42">
        <f t="shared" si="8"/>
        <v>39056.451000000001</v>
      </c>
      <c r="D47" s="11" t="str">
        <f t="shared" si="9"/>
        <v>vis</v>
      </c>
      <c r="E47" s="50">
        <f>VLOOKUP(C47,Active!C$21:E$973,3,FALSE)</f>
        <v>-517.50503400661194</v>
      </c>
      <c r="F47" s="14" t="s">
        <v>65</v>
      </c>
      <c r="G47" s="11" t="str">
        <f t="shared" si="10"/>
        <v>39056.451</v>
      </c>
      <c r="H47" s="42">
        <f t="shared" si="11"/>
        <v>-517.5</v>
      </c>
      <c r="I47" s="51" t="s">
        <v>150</v>
      </c>
      <c r="J47" s="52" t="s">
        <v>151</v>
      </c>
      <c r="K47" s="51">
        <v>-517.5</v>
      </c>
      <c r="L47" s="51" t="s">
        <v>152</v>
      </c>
      <c r="M47" s="52" t="s">
        <v>71</v>
      </c>
      <c r="N47" s="52"/>
      <c r="O47" s="53" t="s">
        <v>94</v>
      </c>
      <c r="P47" s="53" t="s">
        <v>95</v>
      </c>
    </row>
    <row r="48" spans="1:16" ht="12.75" customHeight="1" thickBot="1" x14ac:dyDescent="0.25">
      <c r="A48" s="42" t="str">
        <f t="shared" si="6"/>
        <v> MHAR 15.6 </v>
      </c>
      <c r="B48" s="14" t="str">
        <f t="shared" si="7"/>
        <v>I</v>
      </c>
      <c r="C48" s="42">
        <f t="shared" si="8"/>
        <v>39330.500999999997</v>
      </c>
      <c r="D48" s="11" t="str">
        <f t="shared" si="9"/>
        <v>vis</v>
      </c>
      <c r="E48" s="50">
        <f>VLOOKUP(C48,Active!C$21:E$973,3,FALSE)</f>
        <v>-421.01477263965222</v>
      </c>
      <c r="F48" s="14" t="s">
        <v>65</v>
      </c>
      <c r="G48" s="11" t="str">
        <f t="shared" si="10"/>
        <v>39330.501</v>
      </c>
      <c r="H48" s="42">
        <f t="shared" si="11"/>
        <v>-421</v>
      </c>
      <c r="I48" s="51" t="s">
        <v>153</v>
      </c>
      <c r="J48" s="52" t="s">
        <v>154</v>
      </c>
      <c r="K48" s="51">
        <v>-421</v>
      </c>
      <c r="L48" s="51" t="s">
        <v>93</v>
      </c>
      <c r="M48" s="52" t="s">
        <v>71</v>
      </c>
      <c r="N48" s="52"/>
      <c r="O48" s="53" t="s">
        <v>94</v>
      </c>
      <c r="P48" s="53" t="s">
        <v>95</v>
      </c>
    </row>
    <row r="49" spans="1:16" ht="12.75" customHeight="1" thickBot="1" x14ac:dyDescent="0.25">
      <c r="A49" s="42" t="str">
        <f t="shared" si="6"/>
        <v> MHAR 15.6 </v>
      </c>
      <c r="B49" s="14" t="str">
        <f t="shared" si="7"/>
        <v>II</v>
      </c>
      <c r="C49" s="42">
        <f t="shared" si="8"/>
        <v>39800.565000000002</v>
      </c>
      <c r="D49" s="11" t="str">
        <f t="shared" si="9"/>
        <v>vis</v>
      </c>
      <c r="E49" s="50">
        <f>VLOOKUP(C49,Active!C$21:E$973,3,FALSE)</f>
        <v>-255.50994425359201</v>
      </c>
      <c r="F49" s="14" t="s">
        <v>65</v>
      </c>
      <c r="G49" s="11" t="str">
        <f t="shared" si="10"/>
        <v>39800.565</v>
      </c>
      <c r="H49" s="42">
        <f t="shared" si="11"/>
        <v>-255.5</v>
      </c>
      <c r="I49" s="51" t="s">
        <v>155</v>
      </c>
      <c r="J49" s="52" t="s">
        <v>156</v>
      </c>
      <c r="K49" s="51">
        <v>-255.5</v>
      </c>
      <c r="L49" s="51" t="s">
        <v>157</v>
      </c>
      <c r="M49" s="52" t="s">
        <v>71</v>
      </c>
      <c r="N49" s="52"/>
      <c r="O49" s="53" t="s">
        <v>94</v>
      </c>
      <c r="P49" s="53" t="s">
        <v>95</v>
      </c>
    </row>
    <row r="50" spans="1:16" ht="12.75" customHeight="1" thickBot="1" x14ac:dyDescent="0.25">
      <c r="A50" s="42" t="str">
        <f t="shared" si="6"/>
        <v> MHAR 15.6 </v>
      </c>
      <c r="B50" s="14" t="str">
        <f t="shared" si="7"/>
        <v>I</v>
      </c>
      <c r="C50" s="42">
        <f t="shared" si="8"/>
        <v>40148.446000000004</v>
      </c>
      <c r="D50" s="11" t="str">
        <f t="shared" si="9"/>
        <v>vis</v>
      </c>
      <c r="E50" s="50">
        <f>VLOOKUP(C50,Active!C$21:E$973,3,FALSE)</f>
        <v>-133.02452694069308</v>
      </c>
      <c r="F50" s="14" t="s">
        <v>65</v>
      </c>
      <c r="G50" s="11" t="str">
        <f t="shared" si="10"/>
        <v>40148.446</v>
      </c>
      <c r="H50" s="42">
        <f t="shared" si="11"/>
        <v>-133</v>
      </c>
      <c r="I50" s="51" t="s">
        <v>158</v>
      </c>
      <c r="J50" s="52" t="s">
        <v>159</v>
      </c>
      <c r="K50" s="51">
        <v>-133</v>
      </c>
      <c r="L50" s="51" t="s">
        <v>160</v>
      </c>
      <c r="M50" s="52" t="s">
        <v>71</v>
      </c>
      <c r="N50" s="52"/>
      <c r="O50" s="53" t="s">
        <v>94</v>
      </c>
      <c r="P50" s="53" t="s">
        <v>95</v>
      </c>
    </row>
    <row r="51" spans="1:16" ht="12.75" customHeight="1" thickBot="1" x14ac:dyDescent="0.25">
      <c r="A51" s="42" t="str">
        <f t="shared" si="6"/>
        <v> MHAR 15.6 </v>
      </c>
      <c r="B51" s="14" t="str">
        <f t="shared" si="7"/>
        <v>II</v>
      </c>
      <c r="C51" s="42">
        <f t="shared" si="8"/>
        <v>40232.319000000003</v>
      </c>
      <c r="D51" s="11" t="str">
        <f t="shared" si="9"/>
        <v>vis</v>
      </c>
      <c r="E51" s="50">
        <f>VLOOKUP(C51,Active!C$21:E$973,3,FALSE)</f>
        <v>-103.49368332955972</v>
      </c>
      <c r="F51" s="14" t="s">
        <v>65</v>
      </c>
      <c r="G51" s="11" t="str">
        <f t="shared" si="10"/>
        <v>40232.319</v>
      </c>
      <c r="H51" s="42">
        <f t="shared" si="11"/>
        <v>-103.5</v>
      </c>
      <c r="I51" s="51" t="s">
        <v>161</v>
      </c>
      <c r="J51" s="52" t="s">
        <v>162</v>
      </c>
      <c r="K51" s="51">
        <v>-103.5</v>
      </c>
      <c r="L51" s="51" t="s">
        <v>163</v>
      </c>
      <c r="M51" s="52" t="s">
        <v>71</v>
      </c>
      <c r="N51" s="52"/>
      <c r="O51" s="53" t="s">
        <v>94</v>
      </c>
      <c r="P51" s="53" t="s">
        <v>95</v>
      </c>
    </row>
    <row r="52" spans="1:16" ht="12.75" customHeight="1" thickBot="1" x14ac:dyDescent="0.25">
      <c r="A52" s="42" t="str">
        <f t="shared" si="6"/>
        <v> AAPS 24.2 </v>
      </c>
      <c r="B52" s="14" t="str">
        <f t="shared" si="7"/>
        <v>I</v>
      </c>
      <c r="C52" s="42">
        <f t="shared" si="8"/>
        <v>40526.33</v>
      </c>
      <c r="D52" s="11" t="str">
        <f t="shared" si="9"/>
        <v>vis</v>
      </c>
      <c r="E52" s="50">
        <f>VLOOKUP(C52,Active!C$21:E$973,3,FALSE)</f>
        <v>2.4646299199632193E-2</v>
      </c>
      <c r="F52" s="14" t="s">
        <v>65</v>
      </c>
      <c r="G52" s="11" t="str">
        <f t="shared" si="10"/>
        <v>40526.33</v>
      </c>
      <c r="H52" s="42">
        <f t="shared" si="11"/>
        <v>0</v>
      </c>
      <c r="I52" s="51" t="s">
        <v>164</v>
      </c>
      <c r="J52" s="52" t="s">
        <v>165</v>
      </c>
      <c r="K52" s="51">
        <v>0</v>
      </c>
      <c r="L52" s="51" t="s">
        <v>166</v>
      </c>
      <c r="M52" s="52" t="s">
        <v>71</v>
      </c>
      <c r="N52" s="52"/>
      <c r="O52" s="53" t="s">
        <v>167</v>
      </c>
      <c r="P52" s="53" t="s">
        <v>168</v>
      </c>
    </row>
    <row r="53" spans="1:16" ht="12.75" customHeight="1" thickBot="1" x14ac:dyDescent="0.25">
      <c r="A53" s="42" t="str">
        <f t="shared" si="6"/>
        <v> AAPS 24.2 </v>
      </c>
      <c r="B53" s="14" t="str">
        <f t="shared" si="7"/>
        <v>I</v>
      </c>
      <c r="C53" s="42">
        <f t="shared" si="8"/>
        <v>40563.269999999997</v>
      </c>
      <c r="D53" s="11" t="str">
        <f t="shared" si="9"/>
        <v>vis</v>
      </c>
      <c r="E53" s="50">
        <f>VLOOKUP(C53,Active!C$21:E$973,3,FALSE)</f>
        <v>13.030850476886441</v>
      </c>
      <c r="F53" s="14" t="s">
        <v>65</v>
      </c>
      <c r="G53" s="11" t="str">
        <f t="shared" si="10"/>
        <v>40563.27</v>
      </c>
      <c r="H53" s="42">
        <f t="shared" si="11"/>
        <v>13</v>
      </c>
      <c r="I53" s="51" t="s">
        <v>169</v>
      </c>
      <c r="J53" s="52" t="s">
        <v>170</v>
      </c>
      <c r="K53" s="51">
        <v>13</v>
      </c>
      <c r="L53" s="51" t="s">
        <v>171</v>
      </c>
      <c r="M53" s="52" t="s">
        <v>71</v>
      </c>
      <c r="N53" s="52"/>
      <c r="O53" s="53" t="s">
        <v>167</v>
      </c>
      <c r="P53" s="53" t="s">
        <v>168</v>
      </c>
    </row>
    <row r="54" spans="1:16" ht="12.75" customHeight="1" thickBot="1" x14ac:dyDescent="0.25">
      <c r="A54" s="42" t="str">
        <f t="shared" si="6"/>
        <v> MHAR 15.6 </v>
      </c>
      <c r="B54" s="14" t="str">
        <f t="shared" si="7"/>
        <v>I</v>
      </c>
      <c r="C54" s="42">
        <f t="shared" si="8"/>
        <v>41361.264999999999</v>
      </c>
      <c r="D54" s="11" t="str">
        <f t="shared" si="9"/>
        <v>vis</v>
      </c>
      <c r="E54" s="50">
        <f>VLOOKUP(C54,Active!C$21:E$973,3,FALSE)</f>
        <v>293.99690090391971</v>
      </c>
      <c r="F54" s="14" t="s">
        <v>65</v>
      </c>
      <c r="G54" s="11" t="str">
        <f t="shared" si="10"/>
        <v>41361.265</v>
      </c>
      <c r="H54" s="42">
        <f t="shared" si="11"/>
        <v>294</v>
      </c>
      <c r="I54" s="51" t="s">
        <v>172</v>
      </c>
      <c r="J54" s="52" t="s">
        <v>173</v>
      </c>
      <c r="K54" s="51">
        <v>294</v>
      </c>
      <c r="L54" s="51" t="s">
        <v>132</v>
      </c>
      <c r="M54" s="52" t="s">
        <v>71</v>
      </c>
      <c r="N54" s="52"/>
      <c r="O54" s="53" t="s">
        <v>94</v>
      </c>
      <c r="P54" s="53" t="s">
        <v>95</v>
      </c>
    </row>
    <row r="55" spans="1:16" ht="12.75" customHeight="1" thickBot="1" x14ac:dyDescent="0.25">
      <c r="A55" s="42" t="str">
        <f t="shared" si="6"/>
        <v> MHAR 15.6 </v>
      </c>
      <c r="B55" s="14" t="str">
        <f t="shared" si="7"/>
        <v>II</v>
      </c>
      <c r="C55" s="42">
        <f t="shared" si="8"/>
        <v>41598.438999999998</v>
      </c>
      <c r="D55" s="11" t="str">
        <f t="shared" si="9"/>
        <v>vis</v>
      </c>
      <c r="E55" s="50">
        <f>VLOOKUP(C55,Active!C$21:E$973,3,FALSE)</f>
        <v>377.50349185246034</v>
      </c>
      <c r="F55" s="14" t="s">
        <v>65</v>
      </c>
      <c r="G55" s="11" t="str">
        <f t="shared" si="10"/>
        <v>41598.439</v>
      </c>
      <c r="H55" s="42">
        <f t="shared" si="11"/>
        <v>377.5</v>
      </c>
      <c r="I55" s="51" t="s">
        <v>174</v>
      </c>
      <c r="J55" s="52" t="s">
        <v>175</v>
      </c>
      <c r="K55" s="51">
        <v>377.5</v>
      </c>
      <c r="L55" s="51" t="s">
        <v>176</v>
      </c>
      <c r="M55" s="52" t="s">
        <v>67</v>
      </c>
      <c r="N55" s="52"/>
      <c r="O55" s="53" t="s">
        <v>94</v>
      </c>
      <c r="P55" s="53" t="s">
        <v>95</v>
      </c>
    </row>
    <row r="56" spans="1:16" ht="12.75" customHeight="1" thickBot="1" x14ac:dyDescent="0.25">
      <c r="A56" s="42" t="str">
        <f t="shared" si="6"/>
        <v> AAPS 24.2 </v>
      </c>
      <c r="B56" s="14" t="str">
        <f t="shared" si="7"/>
        <v>I</v>
      </c>
      <c r="C56" s="42">
        <f t="shared" si="8"/>
        <v>41736.269999999997</v>
      </c>
      <c r="D56" s="11" t="str">
        <f t="shared" si="9"/>
        <v>vis</v>
      </c>
      <c r="E56" s="50">
        <f>VLOOKUP(C56,Active!C$21:E$973,3,FALSE)</f>
        <v>426.03240706672585</v>
      </c>
      <c r="F56" s="14" t="s">
        <v>65</v>
      </c>
      <c r="G56" s="11" t="str">
        <f t="shared" si="10"/>
        <v>41736.27</v>
      </c>
      <c r="H56" s="42">
        <f t="shared" si="11"/>
        <v>426</v>
      </c>
      <c r="I56" s="51" t="s">
        <v>177</v>
      </c>
      <c r="J56" s="52" t="s">
        <v>178</v>
      </c>
      <c r="K56" s="51">
        <v>426</v>
      </c>
      <c r="L56" s="51" t="s">
        <v>171</v>
      </c>
      <c r="M56" s="52" t="s">
        <v>71</v>
      </c>
      <c r="N56" s="52"/>
      <c r="O56" s="53" t="s">
        <v>167</v>
      </c>
      <c r="P56" s="53" t="s">
        <v>168</v>
      </c>
    </row>
    <row r="57" spans="1:16" ht="12.75" customHeight="1" thickBot="1" x14ac:dyDescent="0.25">
      <c r="A57" s="42" t="str">
        <f t="shared" si="6"/>
        <v> MHAR 15.6 </v>
      </c>
      <c r="B57" s="14" t="str">
        <f t="shared" si="7"/>
        <v>I</v>
      </c>
      <c r="C57" s="42">
        <f t="shared" si="8"/>
        <v>41980.394</v>
      </c>
      <c r="D57" s="11" t="str">
        <f t="shared" si="9"/>
        <v>vis</v>
      </c>
      <c r="E57" s="50">
        <f>VLOOKUP(C57,Active!C$21:E$973,3,FALSE)</f>
        <v>511.98602343581314</v>
      </c>
      <c r="F57" s="14" t="s">
        <v>65</v>
      </c>
      <c r="G57" s="11" t="str">
        <f t="shared" si="10"/>
        <v>41980.394</v>
      </c>
      <c r="H57" s="42">
        <f t="shared" si="11"/>
        <v>512</v>
      </c>
      <c r="I57" s="51" t="s">
        <v>182</v>
      </c>
      <c r="J57" s="52" t="s">
        <v>183</v>
      </c>
      <c r="K57" s="51">
        <v>512</v>
      </c>
      <c r="L57" s="51" t="s">
        <v>184</v>
      </c>
      <c r="M57" s="52" t="s">
        <v>71</v>
      </c>
      <c r="N57" s="52"/>
      <c r="O57" s="53" t="s">
        <v>94</v>
      </c>
      <c r="P57" s="53" t="s">
        <v>95</v>
      </c>
    </row>
    <row r="58" spans="1:16" ht="12.75" customHeight="1" thickBot="1" x14ac:dyDescent="0.25">
      <c r="A58" s="42" t="str">
        <f t="shared" si="6"/>
        <v> MHAR 15.6 </v>
      </c>
      <c r="B58" s="14" t="str">
        <f t="shared" si="7"/>
        <v>I</v>
      </c>
      <c r="C58" s="42">
        <f t="shared" si="8"/>
        <v>43792.49</v>
      </c>
      <c r="D58" s="11" t="str">
        <f t="shared" si="9"/>
        <v>vis</v>
      </c>
      <c r="E58" s="50">
        <f>VLOOKUP(C58,Active!C$21:E$973,3,FALSE)</f>
        <v>1150.006883359275</v>
      </c>
      <c r="F58" s="14" t="s">
        <v>65</v>
      </c>
      <c r="G58" s="11" t="str">
        <f t="shared" si="10"/>
        <v>43792.490</v>
      </c>
      <c r="H58" s="42">
        <f t="shared" si="11"/>
        <v>1150</v>
      </c>
      <c r="I58" s="51" t="s">
        <v>185</v>
      </c>
      <c r="J58" s="52" t="s">
        <v>186</v>
      </c>
      <c r="K58" s="51">
        <v>1150</v>
      </c>
      <c r="L58" s="51" t="s">
        <v>146</v>
      </c>
      <c r="M58" s="52" t="s">
        <v>71</v>
      </c>
      <c r="N58" s="52"/>
      <c r="O58" s="53" t="s">
        <v>94</v>
      </c>
      <c r="P58" s="53" t="s">
        <v>95</v>
      </c>
    </row>
    <row r="59" spans="1:16" ht="12.75" customHeight="1" thickBot="1" x14ac:dyDescent="0.25">
      <c r="A59" s="42" t="str">
        <f t="shared" si="6"/>
        <v> VSSC 73 </v>
      </c>
      <c r="B59" s="14" t="str">
        <f t="shared" si="7"/>
        <v>I</v>
      </c>
      <c r="C59" s="42">
        <f t="shared" si="8"/>
        <v>47791.39</v>
      </c>
      <c r="D59" s="11" t="str">
        <f t="shared" si="9"/>
        <v>vis</v>
      </c>
      <c r="E59" s="50">
        <f>VLOOKUP(C59,Active!C$21:E$973,3,FALSE)</f>
        <v>2557.9795386424034</v>
      </c>
      <c r="F59" s="14" t="s">
        <v>65</v>
      </c>
      <c r="G59" s="11" t="str">
        <f t="shared" si="10"/>
        <v>47791.39</v>
      </c>
      <c r="H59" s="42">
        <f t="shared" si="11"/>
        <v>2558</v>
      </c>
      <c r="I59" s="51" t="s">
        <v>197</v>
      </c>
      <c r="J59" s="52" t="s">
        <v>198</v>
      </c>
      <c r="K59" s="51">
        <v>2558</v>
      </c>
      <c r="L59" s="51" t="s">
        <v>105</v>
      </c>
      <c r="M59" s="52" t="s">
        <v>190</v>
      </c>
      <c r="N59" s="52"/>
      <c r="O59" s="53" t="s">
        <v>191</v>
      </c>
      <c r="P59" s="53" t="s">
        <v>199</v>
      </c>
    </row>
    <row r="60" spans="1:16" ht="12.75" customHeight="1" thickBot="1" x14ac:dyDescent="0.25">
      <c r="A60" s="42" t="str">
        <f t="shared" si="6"/>
        <v> BBS 124 </v>
      </c>
      <c r="B60" s="14" t="str">
        <f t="shared" si="7"/>
        <v>II</v>
      </c>
      <c r="C60" s="42">
        <f t="shared" si="8"/>
        <v>51925.271000000001</v>
      </c>
      <c r="D60" s="11" t="str">
        <f t="shared" si="9"/>
        <v>vis</v>
      </c>
      <c r="E60" s="50">
        <f>VLOOKUP(C60,Active!C$21:E$973,3,FALSE)</f>
        <v>4013.4776526723799</v>
      </c>
      <c r="F60" s="14" t="s">
        <v>65</v>
      </c>
      <c r="G60" s="11" t="str">
        <f t="shared" si="10"/>
        <v>51925.271</v>
      </c>
      <c r="H60" s="42">
        <f t="shared" si="11"/>
        <v>4013.5</v>
      </c>
      <c r="I60" s="51" t="s">
        <v>208</v>
      </c>
      <c r="J60" s="52" t="s">
        <v>209</v>
      </c>
      <c r="K60" s="51">
        <v>4013.5</v>
      </c>
      <c r="L60" s="51" t="s">
        <v>138</v>
      </c>
      <c r="M60" s="52" t="s">
        <v>210</v>
      </c>
      <c r="N60" s="52" t="s">
        <v>211</v>
      </c>
      <c r="O60" s="53" t="s">
        <v>212</v>
      </c>
      <c r="P60" s="53" t="s">
        <v>213</v>
      </c>
    </row>
    <row r="61" spans="1:16" ht="12.75" customHeight="1" thickBot="1" x14ac:dyDescent="0.25">
      <c r="A61" s="42" t="str">
        <f t="shared" si="6"/>
        <v>BAVM 212 </v>
      </c>
      <c r="B61" s="14" t="str">
        <f t="shared" si="7"/>
        <v>I</v>
      </c>
      <c r="C61" s="42">
        <f t="shared" si="8"/>
        <v>55082.334799999997</v>
      </c>
      <c r="D61" s="11" t="str">
        <f t="shared" si="9"/>
        <v>vis</v>
      </c>
      <c r="E61" s="50">
        <f>VLOOKUP(C61,Active!C$21:E$973,3,FALSE)</f>
        <v>5125.0482099216824</v>
      </c>
      <c r="F61" s="14" t="s">
        <v>65</v>
      </c>
      <c r="G61" s="11" t="str">
        <f t="shared" si="10"/>
        <v>55082.3348</v>
      </c>
      <c r="H61" s="42">
        <f t="shared" si="11"/>
        <v>5125</v>
      </c>
      <c r="I61" s="51" t="s">
        <v>229</v>
      </c>
      <c r="J61" s="52" t="s">
        <v>230</v>
      </c>
      <c r="K61" s="51">
        <v>5125</v>
      </c>
      <c r="L61" s="51" t="s">
        <v>231</v>
      </c>
      <c r="M61" s="52" t="s">
        <v>217</v>
      </c>
      <c r="N61" s="52" t="s">
        <v>218</v>
      </c>
      <c r="O61" s="53" t="s">
        <v>232</v>
      </c>
      <c r="P61" s="54" t="s">
        <v>233</v>
      </c>
    </row>
    <row r="62" spans="1:16" ht="12.75" customHeight="1" thickBot="1" x14ac:dyDescent="0.25">
      <c r="A62" s="42" t="str">
        <f t="shared" si="6"/>
        <v>BAVM 225 </v>
      </c>
      <c r="B62" s="14" t="str">
        <f t="shared" si="7"/>
        <v>II</v>
      </c>
      <c r="C62" s="42">
        <f t="shared" si="8"/>
        <v>55836.414700000001</v>
      </c>
      <c r="D62" s="11" t="str">
        <f t="shared" si="9"/>
        <v>vis</v>
      </c>
      <c r="E62" s="50">
        <f>VLOOKUP(C62,Active!C$21:E$973,3,FALSE)</f>
        <v>5390.55219329177</v>
      </c>
      <c r="F62" s="14" t="s">
        <v>65</v>
      </c>
      <c r="G62" s="11" t="str">
        <f t="shared" si="10"/>
        <v>55836.4147</v>
      </c>
      <c r="H62" s="42">
        <f t="shared" si="11"/>
        <v>5390.5</v>
      </c>
      <c r="I62" s="51" t="s">
        <v>244</v>
      </c>
      <c r="J62" s="52" t="s">
        <v>245</v>
      </c>
      <c r="K62" s="51">
        <v>5390.5</v>
      </c>
      <c r="L62" s="51" t="s">
        <v>246</v>
      </c>
      <c r="M62" s="52" t="s">
        <v>217</v>
      </c>
      <c r="N62" s="52" t="s">
        <v>218</v>
      </c>
      <c r="O62" s="53" t="s">
        <v>232</v>
      </c>
      <c r="P62" s="54" t="s">
        <v>247</v>
      </c>
    </row>
    <row r="63" spans="1:16" x14ac:dyDescent="0.2">
      <c r="B63" s="14"/>
      <c r="F63" s="14"/>
    </row>
    <row r="64" spans="1:1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</sheetData>
  <phoneticPr fontId="7" type="noConversion"/>
  <hyperlinks>
    <hyperlink ref="A3" r:id="rId1" xr:uid="{00000000-0004-0000-0100-000000000000}"/>
    <hyperlink ref="P16" r:id="rId2" display="http://var.astro.cz/oejv/issues/oejv0074.pdf" xr:uid="{00000000-0004-0000-0100-000001000000}"/>
    <hyperlink ref="P17" r:id="rId3" display="http://var.astro.cz/oejv/issues/oejv0074.pdf" xr:uid="{00000000-0004-0000-0100-000002000000}"/>
    <hyperlink ref="P18" r:id="rId4" display="http://var.astro.cz/oejv/issues/oejv0074.pdf" xr:uid="{00000000-0004-0000-0100-000003000000}"/>
    <hyperlink ref="P61" r:id="rId5" display="http://www.bav-astro.de/sfs/BAVM_link.php?BAVMnr=212" xr:uid="{00000000-0004-0000-0100-000004000000}"/>
    <hyperlink ref="P19" r:id="rId6" display="http://www.konkoly.hu/cgi-bin/IBVS?5960" xr:uid="{00000000-0004-0000-0100-000005000000}"/>
    <hyperlink ref="P20" r:id="rId7" display="http://www.konkoly.hu/cgi-bin/IBVS?6007" xr:uid="{00000000-0004-0000-0100-000006000000}"/>
    <hyperlink ref="P62" r:id="rId8" display="http://www.bav-astro.de/sfs/BAVM_link.php?BAVMnr=225" xr:uid="{00000000-0004-0000-0100-000007000000}"/>
    <hyperlink ref="P21" r:id="rId9" display="http://www.konkoly.hu/cgi-bin/IBVS?6007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2023-08-07T00:05:58Z</dcterms:modified>
</cp:coreProperties>
</file>