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623ED13-4A05-4608-A5D1-2006690FF1CC}" xr6:coauthVersionLast="47" xr6:coauthVersionMax="47" xr10:uidLastSave="{00000000-0000-0000-0000-000000000000}"/>
  <bookViews>
    <workbookView xWindow="14910" yWindow="420" windowWidth="132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H30" i="1" s="1"/>
  <c r="Q30" i="1"/>
  <c r="Q28" i="1"/>
  <c r="Q29" i="1"/>
  <c r="Q22" i="1"/>
  <c r="Q23" i="1"/>
  <c r="Q24" i="1"/>
  <c r="Q25" i="1"/>
  <c r="Q26" i="1"/>
  <c r="Q27" i="1"/>
  <c r="D8" i="1"/>
  <c r="C8" i="1"/>
  <c r="E28" i="1" s="1"/>
  <c r="F28" i="1" s="1"/>
  <c r="G28" i="1" s="1"/>
  <c r="E23" i="1"/>
  <c r="F23" i="1" s="1"/>
  <c r="G23" i="1" s="1"/>
  <c r="C13" i="1"/>
  <c r="F12" i="1"/>
  <c r="D14" i="1"/>
  <c r="D13" i="1"/>
  <c r="C14" i="1"/>
  <c r="C17" i="1"/>
  <c r="Q21" i="1"/>
  <c r="E27" i="1"/>
  <c r="F27" i="1"/>
  <c r="G27" i="1" s="1"/>
  <c r="E25" i="1"/>
  <c r="F25" i="1" s="1"/>
  <c r="G25" i="1" s="1"/>
  <c r="H25" i="1" l="1"/>
  <c r="S25" i="1"/>
  <c r="S27" i="1"/>
  <c r="H27" i="1"/>
  <c r="R23" i="1"/>
  <c r="H23" i="1"/>
  <c r="E24" i="1"/>
  <c r="F24" i="1" s="1"/>
  <c r="G24" i="1" s="1"/>
  <c r="E22" i="1"/>
  <c r="F22" i="1" s="1"/>
  <c r="G22" i="1" s="1"/>
  <c r="E26" i="1"/>
  <c r="F26" i="1" s="1"/>
  <c r="G26" i="1" s="1"/>
  <c r="E29" i="1"/>
  <c r="F29" i="1" s="1"/>
  <c r="G29" i="1" s="1"/>
  <c r="H29" i="1" s="1"/>
  <c r="E21" i="1"/>
  <c r="F21" i="1" s="1"/>
  <c r="G21" i="1" s="1"/>
  <c r="H28" i="1"/>
  <c r="F13" i="1"/>
  <c r="H22" i="1" l="1"/>
  <c r="R22" i="1"/>
  <c r="H24" i="1"/>
  <c r="R24" i="1"/>
  <c r="H21" i="1"/>
  <c r="R21" i="1"/>
  <c r="S26" i="1"/>
  <c r="H26" i="1"/>
  <c r="D12" i="1"/>
  <c r="D11" i="1"/>
  <c r="C12" i="1"/>
  <c r="C11" i="1"/>
  <c r="O30" i="1" l="1"/>
  <c r="P30" i="1"/>
  <c r="P27" i="1"/>
  <c r="D15" i="1"/>
  <c r="C19" i="1" s="1"/>
  <c r="P28" i="1"/>
  <c r="P22" i="1"/>
  <c r="P29" i="1"/>
  <c r="P24" i="1"/>
  <c r="P26" i="1"/>
  <c r="P23" i="1"/>
  <c r="P21" i="1"/>
  <c r="P25" i="1"/>
  <c r="D16" i="1"/>
  <c r="D19" i="1" s="1"/>
  <c r="S19" i="1"/>
  <c r="E19" i="1" s="1"/>
  <c r="O29" i="1"/>
  <c r="O21" i="1"/>
  <c r="O28" i="1"/>
  <c r="O22" i="1"/>
  <c r="O26" i="1"/>
  <c r="O23" i="1"/>
  <c r="C15" i="1"/>
  <c r="O25" i="1"/>
  <c r="O27" i="1"/>
  <c r="O24" i="1"/>
  <c r="C16" i="1"/>
  <c r="D18" i="1" s="1"/>
  <c r="R19" i="1"/>
  <c r="E18" i="1" s="1"/>
  <c r="F14" i="1" l="1"/>
  <c r="F15" i="1" s="1"/>
  <c r="C18" i="1"/>
</calcChain>
</file>

<file path=xl/sharedStrings.xml><?xml version="1.0" encoding="utf-8"?>
<sst xmlns="http://schemas.openxmlformats.org/spreadsheetml/2006/main" count="73" uniqueCount="56">
  <si>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</si>
  <si>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</si>
  <si>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</si>
  <si>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</si>
  <si>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</si>
  <si>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</si>
  <si>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</si>
  <si>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</si>
  <si>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</si>
  <si>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</si>
  <si>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</si>
  <si>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</si>
  <si>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</si>
  <si>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</si>
  <si>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</si>
  <si>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</si>
  <si>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</si>
  <si>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</si>
  <si>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</si>
  <si>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</si>
  <si>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</si>
  <si>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</si>
  <si>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</si>
  <si>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</si>
  <si>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</si>
  <si>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</si>
  <si>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</si>
  <si>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</si>
  <si>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</si>
  <si>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</si>
  <si>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</si>
  <si>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</si>
  <si>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</si>
  <si>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</si>
  <si>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</si>
  <si>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</si>
  <si>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</si>
  <si>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</si>
  <si>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</si>
  <si>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V0766 Cas / GSC 3277-1282</t>
  </si>
  <si>
    <t>V0766 Cas</t>
  </si>
  <si>
    <t>G3277-1282</t>
  </si>
  <si>
    <t>EA</t>
  </si>
  <si>
    <t>not avail.</t>
  </si>
  <si>
    <t>VSX</t>
  </si>
  <si>
    <t>OEJV 0172</t>
  </si>
  <si>
    <t>I</t>
  </si>
  <si>
    <t>OEJV 0181</t>
  </si>
  <si>
    <t>II</t>
  </si>
  <si>
    <t>IBVS 6196</t>
  </si>
  <si>
    <t>pg</t>
  </si>
  <si>
    <t>vis</t>
  </si>
  <si>
    <t>PE</t>
  </si>
  <si>
    <t>CCD</t>
  </si>
  <si>
    <t>JBAV, 60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</si>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</sst>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"/>
    <numFmt numFmtId="166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21" fillId="0" borderId="2" applyNumberFormat="0" applyFont="0" applyFill="0" applyAlignment="0" applyProtection="0"/>
    <xf numFmtId="43" fontId="23" fillId="0" borderId="0" applyFon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2" borderId="1" xfId="0" applyFont="1" applyFill="1" applyBorder="1">
      <alignment vertical="top"/>
    </xf>
    <xf numFmtId="0" fontId="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1" xfId="0" applyFont="1" applyBorder="1">
      <alignment vertical="top"/>
    </xf>
    <xf numFmtId="0" fontId="7" fillId="2" borderId="1" xfId="0" applyFont="1" applyFill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0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165" fontId="19" fillId="0" borderId="0" xfId="0" applyNumberFormat="1" applyFont="1" applyAlignment="1">
      <alignment horizontal="left" vertical="top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  <xf numFmtId="0" fontId="16" fillId="0" borderId="0" xfId="7" applyFont="1" applyAlignment="1">
      <alignment wrapText="1"/>
    </xf>
    <xf numFmtId="0" fontId="16" fillId="0" borderId="0" xfId="7" applyFont="1" applyAlignment="1">
      <alignment horizontal="center" wrapText="1"/>
    </xf>
    <xf numFmtId="0" fontId="16" fillId="0" borderId="0" xfId="7" applyFont="1" applyAlignment="1">
      <alignment horizontal="left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22" fillId="0" borderId="0" xfId="0" applyNumberFormat="1" applyFont="1" applyAlignment="1">
      <alignment vertical="center" wrapText="1"/>
    </xf>
    <xf numFmtId="43" fontId="22" fillId="0" borderId="0" xfId="9" applyFont="1" applyBorder="1"/>
    <xf numFmtId="166" fontId="20" fillId="0" borderId="0" xfId="7" applyNumberFormat="1" applyFont="1" applyAlignment="1">
      <alignment horizontal="left"/>
    </xf>
    <xf numFmtId="166" fontId="22" fillId="0" borderId="0" xfId="0" applyNumberFormat="1" applyFont="1" applyAlignment="1" applyProtection="1">
      <alignment vertical="center" wrapText="1"/>
      <protection locked="0"/>
    </xf>
    <xf numFmtId="166" fontId="9" fillId="0" borderId="0" xfId="0" applyNumberFormat="1" applyFont="1" applyAlignment="1">
      <alignment horizontal="left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Prim. O-C Diagr.</a:t>
            </a:r>
          </a:p>
        </c:rich>
      </c:tx>
      <c:layout>
        <c:manualLayout>
          <c:xMode val="edge"/>
          <c:yMode val="edge"/>
          <c:x val="0.2723494906172071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3267792591"/>
          <c:y val="0.14634168126798494"/>
          <c:w val="0.77962657105413025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0">
                  <c:v>0</c:v>
                </c:pt>
                <c:pt idx="1">
                  <c:v>0.44204000000900123</c:v>
                </c:pt>
                <c:pt idx="2">
                  <c:v>0.57914000000164378</c:v>
                </c:pt>
                <c:pt idx="3">
                  <c:v>0.58004000000073574</c:v>
                </c:pt>
                <c:pt idx="7">
                  <c:v>-0.57710000000224682</c:v>
                </c:pt>
                <c:pt idx="8">
                  <c:v>-0.45245499999873573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DB-4347-A791-F8071C1A1C7B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0.2658801423053459</c:v>
                </c:pt>
                <c:pt idx="1">
                  <c:v>8.3988570540854068E-2</c:v>
                </c:pt>
                <c:pt idx="2">
                  <c:v>7.7478134326816633E-2</c:v>
                </c:pt>
                <c:pt idx="3">
                  <c:v>7.7478134326816633E-2</c:v>
                </c:pt>
                <c:pt idx="4">
                  <c:v>7.7002371680406217E-2</c:v>
                </c:pt>
                <c:pt idx="5">
                  <c:v>7.5650204159029205E-2</c:v>
                </c:pt>
                <c:pt idx="6">
                  <c:v>7.5499963323320651E-2</c:v>
                </c:pt>
                <c:pt idx="7">
                  <c:v>3.7514072028340728E-2</c:v>
                </c:pt>
                <c:pt idx="8">
                  <c:v>2.9325946482224419E-2</c:v>
                </c:pt>
                <c:pt idx="9">
                  <c:v>2.1688704000372816E-2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DB-4347-A791-F8071C1A1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0960"/>
        <c:axId val="1"/>
      </c:scatterChart>
      <c:valAx>
        <c:axId val="75040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299583653913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0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4193548387096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8.0999999999999996E-3</c:v>
                  </c:pt>
                  <c:pt idx="4">
                    <c:v>4.4999999999999997E-3</c:v>
                  </c:pt>
                  <c:pt idx="5">
                    <c:v>0.01</c:v>
                  </c:pt>
                  <c:pt idx="6">
                    <c:v>5.0000000000000001E-3</c:v>
                  </c:pt>
                  <c:pt idx="7">
                    <c:v>1.9E-3</c:v>
                  </c:pt>
                  <c:pt idx="8">
                    <c:v>1.4E-3</c:v>
                  </c:pt>
                  <c:pt idx="9">
                    <c:v>5.0000000000000001E-3</c:v>
                  </c:pt>
                </c:numCache>
              </c:numRef>
            </c:plus>
            <c:min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8.0999999999999996E-3</c:v>
                  </c:pt>
                  <c:pt idx="4">
                    <c:v>4.4999999999999997E-3</c:v>
                  </c:pt>
                  <c:pt idx="5">
                    <c:v>0.01</c:v>
                  </c:pt>
                  <c:pt idx="6">
                    <c:v>5.0000000000000001E-3</c:v>
                  </c:pt>
                  <c:pt idx="7">
                    <c:v>1.9E-3</c:v>
                  </c:pt>
                  <c:pt idx="8">
                    <c:v>1.4E-3</c:v>
                  </c:pt>
                  <c:pt idx="9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0">
                  <c:v>0</c:v>
                </c:pt>
                <c:pt idx="1">
                  <c:v>0.44204000000900123</c:v>
                </c:pt>
                <c:pt idx="2">
                  <c:v>0.57914000000164378</c:v>
                </c:pt>
                <c:pt idx="3">
                  <c:v>0.58004000000073574</c:v>
                </c:pt>
                <c:pt idx="4">
                  <c:v>0.4602050000030431</c:v>
                </c:pt>
                <c:pt idx="5">
                  <c:v>0.4742949999999837</c:v>
                </c:pt>
                <c:pt idx="6">
                  <c:v>0.46770500000275206</c:v>
                </c:pt>
                <c:pt idx="7">
                  <c:v>-0.57710000000224682</c:v>
                </c:pt>
                <c:pt idx="8">
                  <c:v>-0.45245499999873573</c:v>
                </c:pt>
                <c:pt idx="9">
                  <c:v>-0.5242800001433352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2-4E9E-A4B2-4405852664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72-4E9E-A4B2-4405852664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72-4E9E-A4B2-4405852664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72-4E9E-A4B2-4405852664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72-4E9E-A4B2-4405852664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72-4E9E-A4B2-4405852664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72-4E9E-A4B2-4405852664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0.2658801423053459</c:v>
                </c:pt>
                <c:pt idx="1">
                  <c:v>8.3988570540854068E-2</c:v>
                </c:pt>
                <c:pt idx="2">
                  <c:v>7.7478134326816633E-2</c:v>
                </c:pt>
                <c:pt idx="3">
                  <c:v>7.7478134326816633E-2</c:v>
                </c:pt>
                <c:pt idx="4">
                  <c:v>7.7002371680406217E-2</c:v>
                </c:pt>
                <c:pt idx="5">
                  <c:v>7.5650204159029205E-2</c:v>
                </c:pt>
                <c:pt idx="6">
                  <c:v>7.5499963323320651E-2</c:v>
                </c:pt>
                <c:pt idx="7">
                  <c:v>3.7514072028340728E-2</c:v>
                </c:pt>
                <c:pt idx="8">
                  <c:v>2.9325946482224419E-2</c:v>
                </c:pt>
                <c:pt idx="9">
                  <c:v>2.1688704000372816E-2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72-4E9E-A4B2-4405852664E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3.6764631873857598</c:v>
                </c:pt>
                <c:pt idx="1">
                  <c:v>0.60139531932515133</c:v>
                </c:pt>
                <c:pt idx="2">
                  <c:v>0.49132956413575757</c:v>
                </c:pt>
                <c:pt idx="3">
                  <c:v>0.49132956413575757</c:v>
                </c:pt>
                <c:pt idx="4">
                  <c:v>0.48328629741037865</c:v>
                </c:pt>
                <c:pt idx="5">
                  <c:v>0.46042648671719677</c:v>
                </c:pt>
                <c:pt idx="6">
                  <c:v>0.45788650775128747</c:v>
                </c:pt>
                <c:pt idx="7">
                  <c:v>-0.18430484079606124</c:v>
                </c:pt>
                <c:pt idx="8">
                  <c:v>-0.32273369443810696</c:v>
                </c:pt>
                <c:pt idx="9">
                  <c:v>-0.45184929187181888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72-4E9E-A4B2-440585266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5552"/>
        <c:axId val="1"/>
      </c:scatterChart>
      <c:valAx>
        <c:axId val="75040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5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677419354838"/>
          <c:y val="0.92097264437689974"/>
          <c:w val="0.7983870967741935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Sec. O-C Diagr.</a:t>
            </a:r>
          </a:p>
        </c:rich>
      </c:tx>
      <c:layout>
        <c:manualLayout>
          <c:xMode val="edge"/>
          <c:yMode val="edge"/>
          <c:x val="0.2816328673201564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838320948582"/>
          <c:y val="0.1458966565349544"/>
          <c:w val="0.78367425031314808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4">
                  <c:v>0.4602050000030431</c:v>
                </c:pt>
                <c:pt idx="5">
                  <c:v>0.4742949999999837</c:v>
                </c:pt>
                <c:pt idx="6">
                  <c:v>0.46770500000275206</c:v>
                </c:pt>
                <c:pt idx="9">
                  <c:v>-0.45245499999873573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9-4CFF-A999-00C198166E69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  <c:pt idx="9">
                  <c:v>4876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3.6764631873857598</c:v>
                </c:pt>
                <c:pt idx="1">
                  <c:v>0.60139531932515133</c:v>
                </c:pt>
                <c:pt idx="2">
                  <c:v>0.49132956413575757</c:v>
                </c:pt>
                <c:pt idx="3">
                  <c:v>0.49132956413575757</c:v>
                </c:pt>
                <c:pt idx="4">
                  <c:v>0.48328629741037865</c:v>
                </c:pt>
                <c:pt idx="5">
                  <c:v>0.46042648671719677</c:v>
                </c:pt>
                <c:pt idx="6">
                  <c:v>0.45788650775128747</c:v>
                </c:pt>
                <c:pt idx="7">
                  <c:v>-0.18430484079606124</c:v>
                </c:pt>
                <c:pt idx="8">
                  <c:v>-0.32273369443810696</c:v>
                </c:pt>
                <c:pt idx="9">
                  <c:v>-0.45184929187181888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D9-4CFF-A999-00C198166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11784"/>
        <c:axId val="1"/>
      </c:scatterChart>
      <c:valAx>
        <c:axId val="75041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1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F19816E-619F-9F3A-FB3F-F9C8F7B06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314325</xdr:colOff>
      <xdr:row>0</xdr:row>
      <xdr:rowOff>123825</xdr:rowOff>
    </xdr:from>
    <xdr:to>
      <xdr:col>30</xdr:col>
      <xdr:colOff>47625</xdr:colOff>
      <xdr:row>18</xdr:row>
      <xdr:rowOff>171450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D2F389D-2E49-E507-15F3-0DE6CC302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47625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673AAA11-0BD1-195D-87B5-FF2E22330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7109375" customWidth="1"/>
    <col min="4" max="4" width="8.28515625" customWidth="1"/>
    <col min="5" max="5" width="9.42578125" customWidth="1"/>
    <col min="6" max="6" width="17.855468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39</v>
      </c>
      <c r="F1" s="31" t="s">
        <v>40</v>
      </c>
      <c r="G1" s="32">
        <v>2013</v>
      </c>
      <c r="H1" s="33"/>
      <c r="I1" s="34" t="s">
        <v>41</v>
      </c>
      <c r="J1" s="35" t="s">
        <v>40</v>
      </c>
      <c r="K1" s="36">
        <v>1.2040600000000001</v>
      </c>
      <c r="L1" s="37">
        <v>51.354100000000003</v>
      </c>
      <c r="M1" s="38">
        <v>48501.254999999997</v>
      </c>
      <c r="N1" s="38">
        <v>2.3295300000000001</v>
      </c>
      <c r="O1" s="39" t="s">
        <v>42</v>
      </c>
    </row>
    <row r="2" spans="1:15" x14ac:dyDescent="0.2">
      <c r="A2" t="s">
        <v>16</v>
      </c>
      <c r="B2" t="s">
        <v>42</v>
      </c>
      <c r="C2" s="40"/>
      <c r="D2" s="9"/>
    </row>
    <row r="3" spans="1:15" ht="13.5" thickBot="1" x14ac:dyDescent="0.25"/>
    <row r="4" spans="1:15" ht="14.25" thickTop="1" thickBot="1" x14ac:dyDescent="0.25">
      <c r="A4" s="6" t="s">
        <v>0</v>
      </c>
      <c r="C4" s="41" t="s">
        <v>43</v>
      </c>
      <c r="D4" s="42" t="s">
        <v>43</v>
      </c>
    </row>
    <row r="5" spans="1:15" ht="13.5" thickTop="1" x14ac:dyDescent="0.2">
      <c r="A5" s="24" t="s">
        <v>31</v>
      </c>
      <c r="B5" s="18"/>
      <c r="C5" s="25">
        <v>-9.5</v>
      </c>
      <c r="D5" s="18" t="s">
        <v>32</v>
      </c>
      <c r="E5" s="18"/>
    </row>
    <row r="6" spans="1:15" x14ac:dyDescent="0.2">
      <c r="A6" s="6" t="s">
        <v>1</v>
      </c>
    </row>
    <row r="7" spans="1:15" x14ac:dyDescent="0.2">
      <c r="A7" t="s">
        <v>2</v>
      </c>
      <c r="C7" s="11">
        <v>48501.254999999997</v>
      </c>
      <c r="D7" s="43" t="s">
        <v>44</v>
      </c>
    </row>
    <row r="8" spans="1:15" x14ac:dyDescent="0.2">
      <c r="A8" t="s">
        <v>3</v>
      </c>
      <c r="C8" s="11">
        <f>N1</f>
        <v>2.3295300000000001</v>
      </c>
      <c r="D8" s="43" t="str">
        <f>D7</f>
        <v>VSX</v>
      </c>
    </row>
    <row r="9" spans="1:15" x14ac:dyDescent="0.2">
      <c r="A9" s="16" t="s">
        <v>28</v>
      </c>
      <c r="B9" s="16"/>
      <c r="C9" s="17">
        <v>21</v>
      </c>
      <c r="D9" s="17">
        <v>21</v>
      </c>
    </row>
    <row r="10" spans="1:15" ht="13.5" thickBot="1" x14ac:dyDescent="0.25">
      <c r="A10" s="18"/>
      <c r="B10" s="18"/>
      <c r="C10" s="5" t="s">
        <v>18</v>
      </c>
      <c r="D10" s="5" t="s">
        <v>19</v>
      </c>
    </row>
    <row r="11" spans="1:15" x14ac:dyDescent="0.2">
      <c r="A11" s="18" t="s">
        <v>13</v>
      </c>
      <c r="B11" s="18"/>
      <c r="C11" s="19">
        <f ca="1">INTERCEPT(INDIRECT(C14):R$935,INDIRECT(C13):$F$935)</f>
        <v>0.2658801423053459</v>
      </c>
      <c r="D11" s="19">
        <f ca="1">INTERCEPT(INDIRECT(D14):S$935,INDIRECT(D13):$F$935)</f>
        <v>3.6764631873857598</v>
      </c>
      <c r="E11" s="16" t="s">
        <v>34</v>
      </c>
      <c r="F11">
        <v>1</v>
      </c>
    </row>
    <row r="12" spans="1:15" x14ac:dyDescent="0.2">
      <c r="A12" s="18" t="s">
        <v>14</v>
      </c>
      <c r="B12" s="18"/>
      <c r="C12" s="19">
        <f ca="1">SLOPE(INDIRECT(C14):R$935,INDIRECT(C13):$F$935)</f>
        <v>-5.0080278569518677E-5</v>
      </c>
      <c r="D12" s="19">
        <f ca="1">SLOPE(INDIRECT(D14):S$935,INDIRECT(D13):$F$935)</f>
        <v>-8.4665965530303095E-4</v>
      </c>
      <c r="E12" s="16" t="s">
        <v>35</v>
      </c>
      <c r="F12" s="26">
        <f ca="1">NOW()+15018.5+$C$5/24</f>
        <v>60170.594810185183</v>
      </c>
    </row>
    <row r="13" spans="1:15" x14ac:dyDescent="0.2">
      <c r="A13" s="16" t="s">
        <v>29</v>
      </c>
      <c r="B13" s="16"/>
      <c r="C13" s="17" t="str">
        <f>"F"&amp;C9</f>
        <v>F21</v>
      </c>
      <c r="D13" s="17" t="str">
        <f>"F"&amp;D9</f>
        <v>F21</v>
      </c>
      <c r="E13" s="16" t="s">
        <v>36</v>
      </c>
      <c r="F13" s="26">
        <f ca="1">ROUND(2*(F12-$C$7)/$C$8,0)/2+F11</f>
        <v>5010.5</v>
      </c>
    </row>
    <row r="14" spans="1:15" x14ac:dyDescent="0.2">
      <c r="A14" s="16" t="s">
        <v>30</v>
      </c>
      <c r="B14" s="16"/>
      <c r="C14" s="17" t="str">
        <f>"R"&amp;C9</f>
        <v>R21</v>
      </c>
      <c r="D14" s="17" t="str">
        <f>"S"&amp;D9</f>
        <v>S21</v>
      </c>
      <c r="E14" s="16" t="s">
        <v>37</v>
      </c>
      <c r="F14" s="27">
        <f ca="1">ROUND(2*(F12-$C$15)/$C$16,0)/2+F11</f>
        <v>134.5</v>
      </c>
    </row>
    <row r="15" spans="1:15" x14ac:dyDescent="0.2">
      <c r="A15" s="20" t="s">
        <v>15</v>
      </c>
      <c r="B15" s="18"/>
      <c r="C15" s="21">
        <f ca="1">($C7+C11)+($C8+C12)*INT(MAX($F21:$F3533))</f>
        <v>59860.064968703999</v>
      </c>
      <c r="D15" s="21">
        <f ca="1">($C7+D11)+($C8+D12)*INT(MAX($F21:$F3533))</f>
        <v>59859.591430708126</v>
      </c>
      <c r="E15" s="16" t="s">
        <v>38</v>
      </c>
      <c r="F15" s="28">
        <f ca="1">+$C$15+$C$16*F14-15018.5-$C$5/24</f>
        <v>45155.275851239865</v>
      </c>
    </row>
    <row r="16" spans="1:15" x14ac:dyDescent="0.2">
      <c r="A16" s="22" t="s">
        <v>4</v>
      </c>
      <c r="B16" s="18"/>
      <c r="C16" s="23">
        <f ca="1">+$C8+C12</f>
        <v>2.3294799197214306</v>
      </c>
      <c r="D16" s="19">
        <f ca="1">+$C8+D12</f>
        <v>2.3286833403446972</v>
      </c>
      <c r="E16" s="29"/>
      <c r="F16" s="29" t="s">
        <v>33</v>
      </c>
    </row>
    <row r="17" spans="1:19" ht="13.5" thickBot="1" x14ac:dyDescent="0.25">
      <c r="A17" s="15" t="s">
        <v>27</v>
      </c>
      <c r="C17">
        <f>COUNT(C21:C1247)</f>
        <v>10</v>
      </c>
    </row>
    <row r="18" spans="1:19" ht="14.25" thickTop="1" thickBot="1" x14ac:dyDescent="0.25">
      <c r="A18" s="6" t="s">
        <v>21</v>
      </c>
      <c r="C18" s="3">
        <f ca="1">+C15</f>
        <v>59860.064968703999</v>
      </c>
      <c r="D18" s="4">
        <f ca="1">+C16</f>
        <v>2.3294799197214306</v>
      </c>
      <c r="E18" s="30">
        <f>R19</f>
        <v>6</v>
      </c>
    </row>
    <row r="19" spans="1:19" ht="14.25" thickTop="1" thickBot="1" x14ac:dyDescent="0.25">
      <c r="A19" s="6" t="s">
        <v>22</v>
      </c>
      <c r="C19" s="3">
        <f ca="1">+D15</f>
        <v>59859.591430708126</v>
      </c>
      <c r="D19" s="4">
        <f ca="1">+D16</f>
        <v>2.3286833403446972</v>
      </c>
      <c r="E19" s="30">
        <f>S19</f>
        <v>4</v>
      </c>
      <c r="R19">
        <f>COUNT(R21:R322)</f>
        <v>6</v>
      </c>
      <c r="S19">
        <f>COUNT(S21:S322)</f>
        <v>4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7" t="s">
        <v>18</v>
      </c>
      <c r="S20" s="7" t="s">
        <v>19</v>
      </c>
    </row>
    <row r="21" spans="1:19" x14ac:dyDescent="0.2">
      <c r="A21" t="s">
        <v>44</v>
      </c>
      <c r="C21" s="11">
        <v>48501.254999999997</v>
      </c>
      <c r="D21" s="11" t="s">
        <v>26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0.2658801423053459</v>
      </c>
      <c r="P21">
        <f ca="1">+D$11+D$12*$F21</f>
        <v>3.6764631873857598</v>
      </c>
      <c r="Q21" s="2">
        <f>+C21-15018.5</f>
        <v>33482.754999999997</v>
      </c>
      <c r="R21">
        <f>G21</f>
        <v>0</v>
      </c>
    </row>
    <row r="22" spans="1:19" x14ac:dyDescent="0.2">
      <c r="A22" s="44" t="s">
        <v>45</v>
      </c>
      <c r="B22" s="45" t="s">
        <v>46</v>
      </c>
      <c r="C22" s="46">
        <v>56962.55</v>
      </c>
      <c r="D22" s="46">
        <v>5.0000000000000001E-3</v>
      </c>
      <c r="E22">
        <f t="shared" ref="E22:E27" si="0">+(C22-C$7)/C$8</f>
        <v>3632.1897550149624</v>
      </c>
      <c r="F22">
        <f t="shared" ref="F22:F27" si="1">ROUND(2*E22,0)/2</f>
        <v>3632</v>
      </c>
      <c r="G22">
        <f t="shared" ref="G22:G27" si="2">+C22-(C$7+F22*C$8)</f>
        <v>0.44204000000900123</v>
      </c>
      <c r="H22">
        <f t="shared" ref="H22:H27" si="3">+G22</f>
        <v>0.44204000000900123</v>
      </c>
      <c r="O22">
        <f t="shared" ref="O22:O27" ca="1" si="4">+C$11+C$12*$F22</f>
        <v>8.3988570540854068E-2</v>
      </c>
      <c r="P22">
        <f t="shared" ref="P22:P27" ca="1" si="5">+D$11+D$12*$F22</f>
        <v>0.60139531932515133</v>
      </c>
      <c r="Q22" s="2">
        <f t="shared" ref="Q22:Q27" si="6">+C22-15018.5</f>
        <v>41944.05</v>
      </c>
      <c r="R22">
        <f>G22</f>
        <v>0.44204000000900123</v>
      </c>
    </row>
    <row r="23" spans="1:19" x14ac:dyDescent="0.2">
      <c r="A23" s="47" t="s">
        <v>47</v>
      </c>
      <c r="B23" s="48" t="s">
        <v>48</v>
      </c>
      <c r="C23" s="49">
        <v>57265.525999999998</v>
      </c>
      <c r="D23" s="49">
        <v>5.0000000000000001E-3</v>
      </c>
      <c r="E23">
        <f t="shared" si="0"/>
        <v>3762.2486080883268</v>
      </c>
      <c r="F23">
        <f t="shared" si="1"/>
        <v>3762</v>
      </c>
      <c r="G23">
        <f t="shared" si="2"/>
        <v>0.57914000000164378</v>
      </c>
      <c r="H23">
        <f t="shared" si="3"/>
        <v>0.57914000000164378</v>
      </c>
      <c r="O23">
        <f t="shared" ca="1" si="4"/>
        <v>7.7478134326816633E-2</v>
      </c>
      <c r="P23">
        <f t="shared" ca="1" si="5"/>
        <v>0.49132956413575757</v>
      </c>
      <c r="Q23" s="2">
        <f t="shared" si="6"/>
        <v>42247.025999999998</v>
      </c>
      <c r="R23">
        <f>G23</f>
        <v>0.57914000000164378</v>
      </c>
    </row>
    <row r="24" spans="1:19" x14ac:dyDescent="0.2">
      <c r="A24" s="50" t="s">
        <v>49</v>
      </c>
      <c r="B24" s="51" t="s">
        <v>46</v>
      </c>
      <c r="C24" s="52">
        <v>57265.526899999997</v>
      </c>
      <c r="D24" s="52">
        <v>8.0999999999999996E-3</v>
      </c>
      <c r="E24">
        <f t="shared" si="0"/>
        <v>3762.2489944323529</v>
      </c>
      <c r="F24">
        <f t="shared" si="1"/>
        <v>3762</v>
      </c>
      <c r="G24">
        <f t="shared" si="2"/>
        <v>0.58004000000073574</v>
      </c>
      <c r="H24">
        <f t="shared" si="3"/>
        <v>0.58004000000073574</v>
      </c>
      <c r="O24">
        <f t="shared" ca="1" si="4"/>
        <v>7.7478134326816633E-2</v>
      </c>
      <c r="P24">
        <f t="shared" ca="1" si="5"/>
        <v>0.49132956413575757</v>
      </c>
      <c r="Q24" s="2">
        <f t="shared" si="6"/>
        <v>42247.026899999997</v>
      </c>
      <c r="R24">
        <f>G24</f>
        <v>0.58004000000073574</v>
      </c>
    </row>
    <row r="25" spans="1:19" x14ac:dyDescent="0.2">
      <c r="A25" s="50" t="s">
        <v>49</v>
      </c>
      <c r="B25" s="51" t="s">
        <v>46</v>
      </c>
      <c r="C25" s="52">
        <v>57287.537600000003</v>
      </c>
      <c r="D25" s="52">
        <v>4.4999999999999997E-3</v>
      </c>
      <c r="E25">
        <f t="shared" si="0"/>
        <v>3771.6975527252303</v>
      </c>
      <c r="F25">
        <f t="shared" si="1"/>
        <v>3771.5</v>
      </c>
      <c r="G25">
        <f t="shared" si="2"/>
        <v>0.4602050000030431</v>
      </c>
      <c r="H25">
        <f t="shared" si="3"/>
        <v>0.4602050000030431</v>
      </c>
      <c r="O25">
        <f t="shared" ca="1" si="4"/>
        <v>7.7002371680406217E-2</v>
      </c>
      <c r="P25">
        <f t="shared" ca="1" si="5"/>
        <v>0.48328629741037865</v>
      </c>
      <c r="Q25" s="2">
        <f t="shared" si="6"/>
        <v>42269.037600000003</v>
      </c>
      <c r="S25">
        <f>G25</f>
        <v>0.4602050000030431</v>
      </c>
    </row>
    <row r="26" spans="1:19" x14ac:dyDescent="0.2">
      <c r="A26" s="47" t="s">
        <v>47</v>
      </c>
      <c r="B26" s="48" t="s">
        <v>46</v>
      </c>
      <c r="C26" s="57">
        <v>57350.449000000001</v>
      </c>
      <c r="D26" s="49">
        <v>0.01</v>
      </c>
      <c r="E26">
        <f t="shared" si="0"/>
        <v>3798.7036011555992</v>
      </c>
      <c r="F26">
        <f t="shared" si="1"/>
        <v>3798.5</v>
      </c>
      <c r="G26">
        <f t="shared" si="2"/>
        <v>0.4742949999999837</v>
      </c>
      <c r="H26">
        <f t="shared" si="3"/>
        <v>0.4742949999999837</v>
      </c>
      <c r="O26">
        <f t="shared" ca="1" si="4"/>
        <v>7.5650204159029205E-2</v>
      </c>
      <c r="P26">
        <f t="shared" ca="1" si="5"/>
        <v>0.46042648671719677</v>
      </c>
      <c r="Q26" s="2">
        <f t="shared" si="6"/>
        <v>42331.949000000001</v>
      </c>
      <c r="S26">
        <f>G26</f>
        <v>0.4742949999999837</v>
      </c>
    </row>
    <row r="27" spans="1:19" x14ac:dyDescent="0.2">
      <c r="A27" s="47" t="s">
        <v>47</v>
      </c>
      <c r="B27" s="48" t="s">
        <v>46</v>
      </c>
      <c r="C27" s="57">
        <v>57357.430999999997</v>
      </c>
      <c r="D27" s="49">
        <v>5.0000000000000001E-3</v>
      </c>
      <c r="E27">
        <f t="shared" si="0"/>
        <v>3801.7007722587814</v>
      </c>
      <c r="F27">
        <f t="shared" si="1"/>
        <v>3801.5</v>
      </c>
      <c r="G27">
        <f t="shared" si="2"/>
        <v>0.46770500000275206</v>
      </c>
      <c r="H27">
        <f t="shared" si="3"/>
        <v>0.46770500000275206</v>
      </c>
      <c r="O27">
        <f t="shared" ca="1" si="4"/>
        <v>7.5499963323320651E-2</v>
      </c>
      <c r="P27">
        <f t="shared" ca="1" si="5"/>
        <v>0.45788650775128747</v>
      </c>
      <c r="Q27" s="2">
        <f t="shared" si="6"/>
        <v>42338.930999999997</v>
      </c>
      <c r="S27">
        <f>G27</f>
        <v>0.46770500000275206</v>
      </c>
    </row>
    <row r="28" spans="1:19" x14ac:dyDescent="0.2">
      <c r="A28" s="53" t="s">
        <v>54</v>
      </c>
      <c r="B28" s="54" t="s">
        <v>46</v>
      </c>
      <c r="C28" s="55">
        <v>59123.334699999999</v>
      </c>
      <c r="D28" s="53">
        <v>1.9E-3</v>
      </c>
      <c r="E28">
        <f t="shared" ref="E28:E29" si="7">+(C28-C$7)/C$8</f>
        <v>4559.7522676248009</v>
      </c>
      <c r="F28">
        <f t="shared" ref="F28:F29" si="8">ROUND(2*E28,0)/2</f>
        <v>4560</v>
      </c>
      <c r="G28">
        <f t="shared" ref="G28:G29" si="9">+C28-(C$7+F28*C$8)</f>
        <v>-0.57710000000224682</v>
      </c>
      <c r="H28">
        <f t="shared" ref="H28:H29" si="10">+G28</f>
        <v>-0.57710000000224682</v>
      </c>
      <c r="O28">
        <f t="shared" ref="O28:O29" ca="1" si="11">+C$11+C$12*$F28</f>
        <v>3.7514072028340728E-2</v>
      </c>
      <c r="P28">
        <f t="shared" ref="P28:P29" ca="1" si="12">+D$11+D$12*$F28</f>
        <v>-0.18430484079606124</v>
      </c>
      <c r="Q28" s="2">
        <f t="shared" ref="Q28:Q29" si="13">+C28-15018.5</f>
        <v>44104.834699999999</v>
      </c>
      <c r="R28">
        <v>-0.57710000000224682</v>
      </c>
    </row>
    <row r="29" spans="1:19" x14ac:dyDescent="0.2">
      <c r="A29" s="53" t="s">
        <v>54</v>
      </c>
      <c r="B29" s="54" t="s">
        <v>46</v>
      </c>
      <c r="C29" s="55">
        <v>59504.337500000001</v>
      </c>
      <c r="D29" s="53">
        <v>1.4E-3</v>
      </c>
      <c r="E29">
        <f t="shared" si="7"/>
        <v>4723.3057741261127</v>
      </c>
      <c r="F29">
        <f t="shared" si="8"/>
        <v>4723.5</v>
      </c>
      <c r="G29">
        <f t="shared" si="9"/>
        <v>-0.45245499999873573</v>
      </c>
      <c r="H29">
        <f t="shared" si="10"/>
        <v>-0.45245499999873573</v>
      </c>
      <c r="O29">
        <f t="shared" ca="1" si="11"/>
        <v>2.9325946482224419E-2</v>
      </c>
      <c r="P29">
        <f t="shared" ca="1" si="12"/>
        <v>-0.32273369443810696</v>
      </c>
      <c r="Q29" s="2">
        <f t="shared" si="13"/>
        <v>44485.837500000001</v>
      </c>
      <c r="R29">
        <v>-0.45245499999873573</v>
      </c>
    </row>
    <row r="30" spans="1:19" x14ac:dyDescent="0.2">
      <c r="A30" s="56" t="s">
        <v>55</v>
      </c>
      <c r="B30" s="56" t="s">
        <v>48</v>
      </c>
      <c r="C30" s="58">
        <v>59859.518999999855</v>
      </c>
      <c r="D30" s="53">
        <v>5.0000000000000001E-3</v>
      </c>
      <c r="E30">
        <f t="shared" ref="E30" si="14">+(C30-C$7)/C$8</f>
        <v>4875.7749417263813</v>
      </c>
      <c r="F30">
        <f t="shared" ref="F30" si="15">ROUND(2*E30,0)/2</f>
        <v>4876</v>
      </c>
      <c r="G30">
        <f t="shared" ref="G30" si="16">+C30-(C$7+F30*C$8)</f>
        <v>-0.5242800001433352</v>
      </c>
      <c r="H30">
        <f t="shared" ref="H30" si="17">+G30</f>
        <v>-0.5242800001433352</v>
      </c>
      <c r="O30">
        <f t="shared" ref="O30" ca="1" si="18">+C$11+C$12*$F30</f>
        <v>2.1688704000372816E-2</v>
      </c>
      <c r="P30">
        <f t="shared" ref="P30" ca="1" si="19">+D$11+D$12*$F30</f>
        <v>-0.45184929187181888</v>
      </c>
      <c r="Q30" s="2">
        <f t="shared" ref="Q30" si="20">+C30-15018.5</f>
        <v>44841.018999999855</v>
      </c>
      <c r="S30">
        <v>-0.45245499999873573</v>
      </c>
    </row>
    <row r="31" spans="1:19" x14ac:dyDescent="0.2">
      <c r="A31" s="12"/>
      <c r="B31" s="13"/>
      <c r="C31" s="59"/>
      <c r="D31" s="10"/>
      <c r="Q31" s="2"/>
    </row>
    <row r="32" spans="1:19" x14ac:dyDescent="0.2">
      <c r="A32" s="12"/>
      <c r="B32" s="13"/>
      <c r="C32" s="59"/>
      <c r="D32" s="10"/>
      <c r="Q32" s="2"/>
    </row>
    <row r="33" spans="1:17" x14ac:dyDescent="0.2">
      <c r="A33" s="14"/>
      <c r="B33" s="9"/>
      <c r="C33" s="59"/>
      <c r="D33" s="11"/>
      <c r="Q33" s="2"/>
    </row>
    <row r="34" spans="1:17" x14ac:dyDescent="0.2">
      <c r="A34" s="14"/>
      <c r="B34" s="9"/>
      <c r="C34" s="10"/>
      <c r="D34" s="11"/>
      <c r="Q34" s="2"/>
    </row>
    <row r="35" spans="1:17" x14ac:dyDescent="0.2">
      <c r="A35" s="14"/>
      <c r="B35" s="9"/>
      <c r="C35" s="10"/>
      <c r="D35" s="11"/>
      <c r="Q35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2023-08-14T02:16:31Z</dcterms:modified>
</cp:coreProperties>
</file>