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56C83BD8-22BD-4567-87E4-4CB06AFF71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Q36" i="1"/>
  <c r="Q35" i="1"/>
  <c r="Q34" i="1"/>
  <c r="C13" i="1"/>
  <c r="Q22" i="1"/>
  <c r="Q23" i="1"/>
  <c r="Q24" i="1"/>
  <c r="Q25" i="1"/>
  <c r="Q26" i="1"/>
  <c r="Q27" i="1"/>
  <c r="Q28" i="1"/>
  <c r="Q29" i="1"/>
  <c r="Q30" i="1"/>
  <c r="Q31" i="1"/>
  <c r="Q32" i="1"/>
  <c r="Q33" i="1"/>
  <c r="C21" i="1"/>
  <c r="C7" i="1"/>
  <c r="E21" i="1" s="1"/>
  <c r="F21" i="1" s="1"/>
  <c r="G21" i="1" s="1"/>
  <c r="H21" i="1" s="1"/>
  <c r="C8" i="1"/>
  <c r="E22" i="1"/>
  <c r="F22" i="1"/>
  <c r="C14" i="1"/>
  <c r="F12" i="1"/>
  <c r="F13" i="1" s="1"/>
  <c r="D14" i="1"/>
  <c r="D13" i="1"/>
  <c r="E34" i="1"/>
  <c r="F34" i="1" s="1"/>
  <c r="Q21" i="1"/>
  <c r="E26" i="1"/>
  <c r="F26" i="1" s="1"/>
  <c r="G26" i="1" s="1"/>
  <c r="C17" i="1"/>
  <c r="S26" i="1" l="1"/>
  <c r="H26" i="1"/>
  <c r="G32" i="1"/>
  <c r="E25" i="1"/>
  <c r="F25" i="1" s="1"/>
  <c r="G25" i="1" s="1"/>
  <c r="E29" i="1"/>
  <c r="F29" i="1" s="1"/>
  <c r="G29" i="1" s="1"/>
  <c r="E33" i="1"/>
  <c r="F33" i="1" s="1"/>
  <c r="G33" i="1" s="1"/>
  <c r="G35" i="1"/>
  <c r="E24" i="1"/>
  <c r="F24" i="1" s="1"/>
  <c r="G24" i="1" s="1"/>
  <c r="G30" i="1"/>
  <c r="E30" i="1"/>
  <c r="F30" i="1" s="1"/>
  <c r="E32" i="1"/>
  <c r="F32" i="1" s="1"/>
  <c r="G31" i="1"/>
  <c r="E35" i="1"/>
  <c r="F35" i="1" s="1"/>
  <c r="E28" i="1"/>
  <c r="F28" i="1" s="1"/>
  <c r="G28" i="1" s="1"/>
  <c r="G34" i="1"/>
  <c r="E23" i="1"/>
  <c r="F23" i="1" s="1"/>
  <c r="G23" i="1" s="1"/>
  <c r="E27" i="1"/>
  <c r="F27" i="1" s="1"/>
  <c r="G27" i="1" s="1"/>
  <c r="E31" i="1"/>
  <c r="F31" i="1" s="1"/>
  <c r="G22" i="1"/>
  <c r="S36" i="1"/>
  <c r="H36" i="1"/>
  <c r="R36" i="1"/>
  <c r="R23" i="1" l="1"/>
  <c r="H23" i="1"/>
  <c r="H28" i="1"/>
  <c r="S28" i="1"/>
  <c r="H27" i="1"/>
  <c r="S27" i="1"/>
  <c r="S19" i="1" s="1"/>
  <c r="E19" i="1" s="1"/>
  <c r="H24" i="1"/>
  <c r="R24" i="1"/>
  <c r="S35" i="1"/>
  <c r="R35" i="1"/>
  <c r="H35" i="1"/>
  <c r="S22" i="1"/>
  <c r="H22" i="1"/>
  <c r="H33" i="1"/>
  <c r="S33" i="1"/>
  <c r="H31" i="1"/>
  <c r="R31" i="1"/>
  <c r="H29" i="1"/>
  <c r="R29" i="1"/>
  <c r="R25" i="1"/>
  <c r="H25" i="1"/>
  <c r="H32" i="1"/>
  <c r="R32" i="1"/>
  <c r="S34" i="1"/>
  <c r="R34" i="1"/>
  <c r="H34" i="1"/>
  <c r="H30" i="1"/>
  <c r="S30" i="1"/>
  <c r="R19" i="1"/>
  <c r="E18" i="1" s="1"/>
  <c r="D11" i="1"/>
  <c r="C11" i="1"/>
  <c r="C12" i="1"/>
  <c r="D12" i="1"/>
  <c r="P25" i="1" l="1"/>
  <c r="P24" i="1"/>
  <c r="P28" i="1"/>
  <c r="P34" i="1"/>
  <c r="P31" i="1"/>
  <c r="P29" i="1"/>
  <c r="D15" i="1"/>
  <c r="C19" i="1" s="1"/>
  <c r="P33" i="1"/>
  <c r="P22" i="1"/>
  <c r="P27" i="1"/>
  <c r="P32" i="1"/>
  <c r="P21" i="1"/>
  <c r="P36" i="1"/>
  <c r="P23" i="1"/>
  <c r="P30" i="1"/>
  <c r="P35" i="1"/>
  <c r="P26" i="1"/>
  <c r="D16" i="1"/>
  <c r="D19" i="1" s="1"/>
  <c r="C16" i="1"/>
  <c r="D18" i="1" s="1"/>
  <c r="O21" i="1"/>
  <c r="O31" i="1"/>
  <c r="O29" i="1"/>
  <c r="O34" i="1"/>
  <c r="C15" i="1"/>
  <c r="C18" i="1" s="1"/>
  <c r="O33" i="1"/>
  <c r="O35" i="1"/>
  <c r="O27" i="1"/>
  <c r="O36" i="1"/>
  <c r="O32" i="1"/>
  <c r="O22" i="1"/>
  <c r="O25" i="1"/>
  <c r="O23" i="1"/>
  <c r="O30" i="1"/>
  <c r="O26" i="1"/>
  <c r="O28" i="1"/>
  <c r="O24" i="1"/>
  <c r="F14" i="1" l="1"/>
  <c r="F15" i="1" s="1"/>
</calcChain>
</file>

<file path=xl/sharedStrings.xml><?xml version="1.0" encoding="utf-8"?>
<sst xmlns="http://schemas.openxmlformats.org/spreadsheetml/2006/main" count="80" uniqueCount="61">
  <si>
    <t>IBVS 6193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</si>
  <si>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</si>
  <si>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</si>
  <si>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</si>
  <si>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</si>
  <si>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</si>
  <si>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</si>
  <si>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</si>
  <si>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</si>
  <si>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</si>
  <si>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</si>
  <si>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</si>
  <si>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</si>
  <si>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</si>
  <si>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</si>
  <si>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</si>
  <si>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</si>
  <si>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</si>
  <si>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</si>
  <si>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</si>
  <si>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</si>
  <si>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</si>
  <si>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</si>
  <si>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</si>
  <si>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</si>
  <si>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</si>
  <si>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</si>
  <si>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</si>
  <si>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na</t>
  </si>
  <si>
    <t># of data points =</t>
  </si>
  <si>
    <t>Start of Lin fit (row)</t>
  </si>
  <si>
    <t>Start cell (x)</t>
  </si>
  <si>
    <t>Start cell (y)</t>
  </si>
  <si>
    <t>S2</t>
  </si>
  <si>
    <t>S3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</si>
  <si>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</si>
  <si>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</si>
  <si>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</si>
  <si>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</si>
  <si>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</si>
  <si>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</si>
  <si>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</si>
  <si>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</si>
  <si>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IBVS 5557 Eph.</t>
  </si>
  <si>
    <t>Cas_V0775.xls</t>
  </si>
  <si>
    <t>Cas</t>
  </si>
  <si>
    <t>EA</t>
  </si>
  <si>
    <t xml:space="preserve">V0775 Cas / GSC 4036-0032 </t>
  </si>
  <si>
    <t>IBVS 5741</t>
  </si>
  <si>
    <t>II</t>
  </si>
  <si>
    <t>IBVS 5978</t>
  </si>
  <si>
    <t>I</t>
  </si>
  <si>
    <t>IBVS 5781</t>
  </si>
  <si>
    <t>IBVS 5992</t>
  </si>
  <si>
    <t>IBVS 6011</t>
  </si>
  <si>
    <t>IBVS 6042</t>
  </si>
  <si>
    <t>OEJV 0160</t>
  </si>
  <si>
    <t>IBVS 6070</t>
  </si>
  <si>
    <t>IBVS 5557</t>
  </si>
  <si>
    <t>JAVSO 49, 256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</si>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</sst>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5" fillId="0" borderId="0"/>
    <xf numFmtId="0" fontId="8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0" xfId="0" applyFont="1" applyAlignment="1"/>
    <xf numFmtId="0" fontId="0" fillId="0" borderId="0" xfId="0" applyAlignment="1">
      <alignment vertical="center"/>
    </xf>
    <xf numFmtId="0" fontId="14" fillId="0" borderId="0" xfId="0" applyFont="1" applyAlignme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0" fillId="24" borderId="0" xfId="0" applyFont="1" applyFill="1" applyAlignme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29" fillId="0" borderId="0" xfId="41" applyFont="1" applyAlignment="1">
      <alignment wrapText="1"/>
    </xf>
    <xf numFmtId="0" fontId="29" fillId="0" borderId="0" xfId="41" applyFont="1" applyAlignment="1">
      <alignment horizontal="center" wrapText="1"/>
    </xf>
    <xf numFmtId="0" fontId="29" fillId="0" borderId="0" xfId="41" applyFont="1" applyAlignment="1">
      <alignment horizontal="left" wrapText="1"/>
    </xf>
    <xf numFmtId="0" fontId="29" fillId="0" borderId="0" xfId="0" applyFont="1" applyAlignme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65" fontId="31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V0775 Cas - Prim. O-C Diagr.</a:t>
            </a:r>
          </a:p>
        </c:rich>
      </c:tx>
      <c:layout>
        <c:manualLayout>
          <c:xMode val="edge"/>
          <c:yMode val="edge"/>
          <c:x val="0.2723494906172071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11037705299127"/>
          <c:y val="0.14634168126798494"/>
          <c:w val="0.75467852078039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911.5</c:v>
                </c:pt>
                <c:pt idx="2">
                  <c:v>981</c:v>
                </c:pt>
                <c:pt idx="3">
                  <c:v>1004</c:v>
                </c:pt>
                <c:pt idx="4">
                  <c:v>1245</c:v>
                </c:pt>
                <c:pt idx="5">
                  <c:v>1246.5</c:v>
                </c:pt>
                <c:pt idx="6">
                  <c:v>1265.5</c:v>
                </c:pt>
                <c:pt idx="7">
                  <c:v>1314.5</c:v>
                </c:pt>
                <c:pt idx="8">
                  <c:v>1320</c:v>
                </c:pt>
                <c:pt idx="9">
                  <c:v>1388.5</c:v>
                </c:pt>
                <c:pt idx="10">
                  <c:v>1397</c:v>
                </c:pt>
                <c:pt idx="11">
                  <c:v>1273</c:v>
                </c:pt>
                <c:pt idx="12">
                  <c:v>1320.5</c:v>
                </c:pt>
                <c:pt idx="13">
                  <c:v>1563</c:v>
                </c:pt>
                <c:pt idx="14">
                  <c:v>1933.5</c:v>
                </c:pt>
                <c:pt idx="15">
                  <c:v>1986</c:v>
                </c:pt>
              </c:numCache>
            </c:numRef>
          </c:xVal>
          <c:yVal>
            <c:numRef>
              <c:f>aCTIVE!$R$21:$R$920</c:f>
              <c:numCache>
                <c:formatCode>General</c:formatCode>
                <c:ptCount val="900"/>
                <c:pt idx="2">
                  <c:v>-5.3958700000002864</c:v>
                </c:pt>
                <c:pt idx="3">
                  <c:v>-5.3936800000010408</c:v>
                </c:pt>
                <c:pt idx="4">
                  <c:v>-5.3962500000052387</c:v>
                </c:pt>
                <c:pt idx="8">
                  <c:v>-5.3990000000048894</c:v>
                </c:pt>
                <c:pt idx="10">
                  <c:v>-5.4030899999997928</c:v>
                </c:pt>
                <c:pt idx="11">
                  <c:v>-5.3923800000047777</c:v>
                </c:pt>
                <c:pt idx="13">
                  <c:v>-5.3936099999991711</c:v>
                </c:pt>
                <c:pt idx="14">
                  <c:v>-4.5513950000022305</c:v>
                </c:pt>
                <c:pt idx="15">
                  <c:v>-5.4037200000020675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08-43F3-84D3-845787A2BB21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911.5</c:v>
                </c:pt>
                <c:pt idx="2">
                  <c:v>981</c:v>
                </c:pt>
                <c:pt idx="3">
                  <c:v>1004</c:v>
                </c:pt>
                <c:pt idx="4">
                  <c:v>1245</c:v>
                </c:pt>
                <c:pt idx="5">
                  <c:v>1246.5</c:v>
                </c:pt>
                <c:pt idx="6">
                  <c:v>1265.5</c:v>
                </c:pt>
                <c:pt idx="7">
                  <c:v>1314.5</c:v>
                </c:pt>
                <c:pt idx="8">
                  <c:v>1320</c:v>
                </c:pt>
                <c:pt idx="9">
                  <c:v>1388.5</c:v>
                </c:pt>
                <c:pt idx="10">
                  <c:v>1397</c:v>
                </c:pt>
                <c:pt idx="11">
                  <c:v>1273</c:v>
                </c:pt>
                <c:pt idx="12">
                  <c:v>1320.5</c:v>
                </c:pt>
                <c:pt idx="13">
                  <c:v>1563</c:v>
                </c:pt>
                <c:pt idx="14">
                  <c:v>1933.5</c:v>
                </c:pt>
                <c:pt idx="15">
                  <c:v>1986</c:v>
                </c:pt>
              </c:numCache>
            </c:numRef>
          </c:xVal>
          <c:yVal>
            <c:numRef>
              <c:f>aCTIVE!$O$21:$O$920</c:f>
              <c:numCache>
                <c:formatCode>General</c:formatCode>
                <c:ptCount val="900"/>
                <c:pt idx="0">
                  <c:v>-5.8990517921405745</c:v>
                </c:pt>
                <c:pt idx="1">
                  <c:v>-5.5142541196896842</c:v>
                </c:pt>
                <c:pt idx="2">
                  <c:v>-5.4849140887129026</c:v>
                </c:pt>
                <c:pt idx="3">
                  <c:v>-5.4752044381738232</c:v>
                </c:pt>
                <c:pt idx="4">
                  <c:v>-5.3734641868730391</c:v>
                </c:pt>
                <c:pt idx="5">
                  <c:v>-5.3728309487944035</c:v>
                </c:pt>
                <c:pt idx="6">
                  <c:v>-5.3648099331316867</c:v>
                </c:pt>
                <c:pt idx="7">
                  <c:v>-5.3441241558962576</c:v>
                </c:pt>
                <c:pt idx="8">
                  <c:v>-5.3418022829412601</c:v>
                </c:pt>
                <c:pt idx="9">
                  <c:v>-5.3128844106835684</c:v>
                </c:pt>
                <c:pt idx="10">
                  <c:v>-5.3092960615712999</c:v>
                </c:pt>
                <c:pt idx="11">
                  <c:v>-5.3616437427385089</c:v>
                </c:pt>
                <c:pt idx="12">
                  <c:v>-5.3415912035817152</c:v>
                </c:pt>
                <c:pt idx="13">
                  <c:v>-5.2392177142022955</c:v>
                </c:pt>
                <c:pt idx="14">
                  <c:v>-5.0828079087793059</c:v>
                </c:pt>
                <c:pt idx="15">
                  <c:v>-5.0606445760270606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08-43F3-84D3-845787A2B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324736"/>
        <c:axId val="1"/>
      </c:scatterChart>
      <c:valAx>
        <c:axId val="829324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3039708394038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324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580085233628539"/>
          <c:y val="0.92073298764483702"/>
          <c:w val="0.3035345218022383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7741935483870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aCTIVE!$D$21:$D$493</c:f>
                <c:numCache>
                  <c:formatCode>General</c:formatCode>
                  <c:ptCount val="473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1.1999999999999999E-3</c:v>
                  </c:pt>
                  <c:pt idx="9">
                    <c:v>6.0000000000000006E-4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2.2000000000000001E-3</c:v>
                  </c:pt>
                  <c:pt idx="13">
                    <c:v>5.0000000000000001E-3</c:v>
                  </c:pt>
                  <c:pt idx="14">
                    <c:v>5.0000000000000001E-4</c:v>
                  </c:pt>
                  <c:pt idx="15">
                    <c:v>1.6000000000000001E-3</c:v>
                  </c:pt>
                </c:numCache>
              </c:numRef>
            </c:plus>
            <c:minus>
              <c:numRef>
                <c:f>aCTIVE!$D$21:$D$493</c:f>
                <c:numCache>
                  <c:formatCode>General</c:formatCode>
                  <c:ptCount val="473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1.1999999999999999E-3</c:v>
                  </c:pt>
                  <c:pt idx="9">
                    <c:v>6.0000000000000006E-4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2.2000000000000001E-3</c:v>
                  </c:pt>
                  <c:pt idx="13">
                    <c:v>5.0000000000000001E-3</c:v>
                  </c:pt>
                  <c:pt idx="14">
                    <c:v>5.0000000000000001E-4</c:v>
                  </c:pt>
                  <c:pt idx="15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911.5</c:v>
                </c:pt>
                <c:pt idx="2">
                  <c:v>981</c:v>
                </c:pt>
                <c:pt idx="3">
                  <c:v>1004</c:v>
                </c:pt>
                <c:pt idx="4">
                  <c:v>1245</c:v>
                </c:pt>
                <c:pt idx="5">
                  <c:v>1246.5</c:v>
                </c:pt>
                <c:pt idx="6">
                  <c:v>1265.5</c:v>
                </c:pt>
                <c:pt idx="7">
                  <c:v>1314.5</c:v>
                </c:pt>
                <c:pt idx="8">
                  <c:v>1320</c:v>
                </c:pt>
                <c:pt idx="9">
                  <c:v>1388.5</c:v>
                </c:pt>
                <c:pt idx="10">
                  <c:v>1397</c:v>
                </c:pt>
                <c:pt idx="11">
                  <c:v>1273</c:v>
                </c:pt>
                <c:pt idx="12">
                  <c:v>1320.5</c:v>
                </c:pt>
                <c:pt idx="13">
                  <c:v>1563</c:v>
                </c:pt>
                <c:pt idx="14">
                  <c:v>1933.5</c:v>
                </c:pt>
                <c:pt idx="15">
                  <c:v>1986</c:v>
                </c:pt>
              </c:numCache>
            </c:numRef>
          </c:xVal>
          <c:yVal>
            <c:numRef>
              <c:f>aCTIVE!$H$21:$H$920</c:f>
              <c:numCache>
                <c:formatCode>General</c:formatCode>
                <c:ptCount val="900"/>
                <c:pt idx="0">
                  <c:v>0</c:v>
                </c:pt>
                <c:pt idx="1">
                  <c:v>-4.5556550000037532</c:v>
                </c:pt>
                <c:pt idx="2">
                  <c:v>-5.3958700000002864</c:v>
                </c:pt>
                <c:pt idx="3">
                  <c:v>-5.3936800000010408</c:v>
                </c:pt>
                <c:pt idx="4">
                  <c:v>-5.3962500000052387</c:v>
                </c:pt>
                <c:pt idx="5">
                  <c:v>-4.5547050000022864</c:v>
                </c:pt>
                <c:pt idx="6">
                  <c:v>-4.553635000003851</c:v>
                </c:pt>
                <c:pt idx="7">
                  <c:v>-4.5564650000014808</c:v>
                </c:pt>
                <c:pt idx="8">
                  <c:v>-5.3990000000048894</c:v>
                </c:pt>
                <c:pt idx="9">
                  <c:v>-4.5585449999998673</c:v>
                </c:pt>
                <c:pt idx="10">
                  <c:v>-5.4030899999997928</c:v>
                </c:pt>
                <c:pt idx="11">
                  <c:v>-5.3923800000047777</c:v>
                </c:pt>
                <c:pt idx="12">
                  <c:v>-4.521085000000312</c:v>
                </c:pt>
                <c:pt idx="13">
                  <c:v>-5.3936099999991711</c:v>
                </c:pt>
                <c:pt idx="14">
                  <c:v>-4.5513950000022305</c:v>
                </c:pt>
                <c:pt idx="15">
                  <c:v>-5.4037200000020675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C0-4157-81E4-CC96C49563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911.5</c:v>
                </c:pt>
                <c:pt idx="2">
                  <c:v>981</c:v>
                </c:pt>
                <c:pt idx="3">
                  <c:v>1004</c:v>
                </c:pt>
                <c:pt idx="4">
                  <c:v>1245</c:v>
                </c:pt>
                <c:pt idx="5">
                  <c:v>1246.5</c:v>
                </c:pt>
                <c:pt idx="6">
                  <c:v>1265.5</c:v>
                </c:pt>
                <c:pt idx="7">
                  <c:v>1314.5</c:v>
                </c:pt>
                <c:pt idx="8">
                  <c:v>1320</c:v>
                </c:pt>
                <c:pt idx="9">
                  <c:v>1388.5</c:v>
                </c:pt>
                <c:pt idx="10">
                  <c:v>1397</c:v>
                </c:pt>
                <c:pt idx="11">
                  <c:v>1273</c:v>
                </c:pt>
                <c:pt idx="12">
                  <c:v>1320.5</c:v>
                </c:pt>
                <c:pt idx="13">
                  <c:v>1563</c:v>
                </c:pt>
                <c:pt idx="14">
                  <c:v>1933.5</c:v>
                </c:pt>
                <c:pt idx="15">
                  <c:v>1986</c:v>
                </c:pt>
              </c:numCache>
            </c:numRef>
          </c:xVal>
          <c:yVal>
            <c:numRef>
              <c:f>aCTIVE!$I$21:$I$920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C0-4157-81E4-CC96C495639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911.5</c:v>
                </c:pt>
                <c:pt idx="2">
                  <c:v>981</c:v>
                </c:pt>
                <c:pt idx="3">
                  <c:v>1004</c:v>
                </c:pt>
                <c:pt idx="4">
                  <c:v>1245</c:v>
                </c:pt>
                <c:pt idx="5">
                  <c:v>1246.5</c:v>
                </c:pt>
                <c:pt idx="6">
                  <c:v>1265.5</c:v>
                </c:pt>
                <c:pt idx="7">
                  <c:v>1314.5</c:v>
                </c:pt>
                <c:pt idx="8">
                  <c:v>1320</c:v>
                </c:pt>
                <c:pt idx="9">
                  <c:v>1388.5</c:v>
                </c:pt>
                <c:pt idx="10">
                  <c:v>1397</c:v>
                </c:pt>
                <c:pt idx="11">
                  <c:v>1273</c:v>
                </c:pt>
                <c:pt idx="12">
                  <c:v>1320.5</c:v>
                </c:pt>
                <c:pt idx="13">
                  <c:v>1563</c:v>
                </c:pt>
                <c:pt idx="14">
                  <c:v>1933.5</c:v>
                </c:pt>
                <c:pt idx="15">
                  <c:v>1986</c:v>
                </c:pt>
              </c:numCache>
            </c:numRef>
          </c:xVal>
          <c:yVal>
            <c:numRef>
              <c:f>aCTIVE!$J$21:$J$920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C0-4157-81E4-CC96C495639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911.5</c:v>
                </c:pt>
                <c:pt idx="2">
                  <c:v>981</c:v>
                </c:pt>
                <c:pt idx="3">
                  <c:v>1004</c:v>
                </c:pt>
                <c:pt idx="4">
                  <c:v>1245</c:v>
                </c:pt>
                <c:pt idx="5">
                  <c:v>1246.5</c:v>
                </c:pt>
                <c:pt idx="6">
                  <c:v>1265.5</c:v>
                </c:pt>
                <c:pt idx="7">
                  <c:v>1314.5</c:v>
                </c:pt>
                <c:pt idx="8">
                  <c:v>1320</c:v>
                </c:pt>
                <c:pt idx="9">
                  <c:v>1388.5</c:v>
                </c:pt>
                <c:pt idx="10">
                  <c:v>1397</c:v>
                </c:pt>
                <c:pt idx="11">
                  <c:v>1273</c:v>
                </c:pt>
                <c:pt idx="12">
                  <c:v>1320.5</c:v>
                </c:pt>
                <c:pt idx="13">
                  <c:v>1563</c:v>
                </c:pt>
                <c:pt idx="14">
                  <c:v>1933.5</c:v>
                </c:pt>
                <c:pt idx="15">
                  <c:v>1986</c:v>
                </c:pt>
              </c:numCache>
            </c:numRef>
          </c:xVal>
          <c:yVal>
            <c:numRef>
              <c:f>aCTIVE!$K$21:$K$920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C0-4157-81E4-CC96C495639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911.5</c:v>
                </c:pt>
                <c:pt idx="2">
                  <c:v>981</c:v>
                </c:pt>
                <c:pt idx="3">
                  <c:v>1004</c:v>
                </c:pt>
                <c:pt idx="4">
                  <c:v>1245</c:v>
                </c:pt>
                <c:pt idx="5">
                  <c:v>1246.5</c:v>
                </c:pt>
                <c:pt idx="6">
                  <c:v>1265.5</c:v>
                </c:pt>
                <c:pt idx="7">
                  <c:v>1314.5</c:v>
                </c:pt>
                <c:pt idx="8">
                  <c:v>1320</c:v>
                </c:pt>
                <c:pt idx="9">
                  <c:v>1388.5</c:v>
                </c:pt>
                <c:pt idx="10">
                  <c:v>1397</c:v>
                </c:pt>
                <c:pt idx="11">
                  <c:v>1273</c:v>
                </c:pt>
                <c:pt idx="12">
                  <c:v>1320.5</c:v>
                </c:pt>
                <c:pt idx="13">
                  <c:v>1563</c:v>
                </c:pt>
                <c:pt idx="14">
                  <c:v>1933.5</c:v>
                </c:pt>
                <c:pt idx="15">
                  <c:v>1986</c:v>
                </c:pt>
              </c:numCache>
            </c:numRef>
          </c:xVal>
          <c:yVal>
            <c:numRef>
              <c:f>aCTIVE!$L$21:$L$920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C0-4157-81E4-CC96C49563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911.5</c:v>
                </c:pt>
                <c:pt idx="2">
                  <c:v>981</c:v>
                </c:pt>
                <c:pt idx="3">
                  <c:v>1004</c:v>
                </c:pt>
                <c:pt idx="4">
                  <c:v>1245</c:v>
                </c:pt>
                <c:pt idx="5">
                  <c:v>1246.5</c:v>
                </c:pt>
                <c:pt idx="6">
                  <c:v>1265.5</c:v>
                </c:pt>
                <c:pt idx="7">
                  <c:v>1314.5</c:v>
                </c:pt>
                <c:pt idx="8">
                  <c:v>1320</c:v>
                </c:pt>
                <c:pt idx="9">
                  <c:v>1388.5</c:v>
                </c:pt>
                <c:pt idx="10">
                  <c:v>1397</c:v>
                </c:pt>
                <c:pt idx="11">
                  <c:v>1273</c:v>
                </c:pt>
                <c:pt idx="12">
                  <c:v>1320.5</c:v>
                </c:pt>
                <c:pt idx="13">
                  <c:v>1563</c:v>
                </c:pt>
                <c:pt idx="14">
                  <c:v>1933.5</c:v>
                </c:pt>
                <c:pt idx="15">
                  <c:v>1986</c:v>
                </c:pt>
              </c:numCache>
            </c:numRef>
          </c:xVal>
          <c:yVal>
            <c:numRef>
              <c:f>aCTIVE!$M$21:$M$920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C0-4157-81E4-CC96C49563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911.5</c:v>
                </c:pt>
                <c:pt idx="2">
                  <c:v>981</c:v>
                </c:pt>
                <c:pt idx="3">
                  <c:v>1004</c:v>
                </c:pt>
                <c:pt idx="4">
                  <c:v>1245</c:v>
                </c:pt>
                <c:pt idx="5">
                  <c:v>1246.5</c:v>
                </c:pt>
                <c:pt idx="6">
                  <c:v>1265.5</c:v>
                </c:pt>
                <c:pt idx="7">
                  <c:v>1314.5</c:v>
                </c:pt>
                <c:pt idx="8">
                  <c:v>1320</c:v>
                </c:pt>
                <c:pt idx="9">
                  <c:v>1388.5</c:v>
                </c:pt>
                <c:pt idx="10">
                  <c:v>1397</c:v>
                </c:pt>
                <c:pt idx="11">
                  <c:v>1273</c:v>
                </c:pt>
                <c:pt idx="12">
                  <c:v>1320.5</c:v>
                </c:pt>
                <c:pt idx="13">
                  <c:v>1563</c:v>
                </c:pt>
                <c:pt idx="14">
                  <c:v>1933.5</c:v>
                </c:pt>
                <c:pt idx="15">
                  <c:v>1986</c:v>
                </c:pt>
              </c:numCache>
            </c:numRef>
          </c:xVal>
          <c:yVal>
            <c:numRef>
              <c:f>aCTIVE!$N$21:$N$920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C0-4157-81E4-CC96C4956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337528"/>
        <c:axId val="1"/>
      </c:scatterChart>
      <c:valAx>
        <c:axId val="829337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337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806451612903228"/>
          <c:y val="0.92097264437689974"/>
          <c:w val="0.3774193548387097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V0775 Cas - Sec. O-C Diagr.</a:t>
            </a:r>
          </a:p>
        </c:rich>
      </c:tx>
      <c:layout>
        <c:manualLayout>
          <c:xMode val="edge"/>
          <c:yMode val="edge"/>
          <c:x val="0.2816328673201564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7142934015200504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911.5</c:v>
                </c:pt>
                <c:pt idx="2">
                  <c:v>981</c:v>
                </c:pt>
                <c:pt idx="3">
                  <c:v>1004</c:v>
                </c:pt>
                <c:pt idx="4">
                  <c:v>1245</c:v>
                </c:pt>
                <c:pt idx="5">
                  <c:v>1246.5</c:v>
                </c:pt>
                <c:pt idx="6">
                  <c:v>1265.5</c:v>
                </c:pt>
                <c:pt idx="7">
                  <c:v>1314.5</c:v>
                </c:pt>
                <c:pt idx="8">
                  <c:v>1320</c:v>
                </c:pt>
                <c:pt idx="9">
                  <c:v>1388.5</c:v>
                </c:pt>
                <c:pt idx="10">
                  <c:v>1397</c:v>
                </c:pt>
                <c:pt idx="11">
                  <c:v>1273</c:v>
                </c:pt>
                <c:pt idx="12">
                  <c:v>1320.5</c:v>
                </c:pt>
                <c:pt idx="13">
                  <c:v>1563</c:v>
                </c:pt>
                <c:pt idx="14">
                  <c:v>1933.5</c:v>
                </c:pt>
                <c:pt idx="15">
                  <c:v>1986</c:v>
                </c:pt>
              </c:numCache>
            </c:numRef>
          </c:xVal>
          <c:yVal>
            <c:numRef>
              <c:f>aCTIVE!$S$21:$S$920</c:f>
              <c:numCache>
                <c:formatCode>General</c:formatCode>
                <c:ptCount val="900"/>
                <c:pt idx="1">
                  <c:v>-4.5556550000037532</c:v>
                </c:pt>
                <c:pt idx="5">
                  <c:v>-4.5547050000022864</c:v>
                </c:pt>
                <c:pt idx="6">
                  <c:v>-4.553635000003851</c:v>
                </c:pt>
                <c:pt idx="7">
                  <c:v>-4.5564650000014808</c:v>
                </c:pt>
                <c:pt idx="9">
                  <c:v>-4.5585449999998673</c:v>
                </c:pt>
                <c:pt idx="12">
                  <c:v>-4.521085000000312</c:v>
                </c:pt>
                <c:pt idx="13">
                  <c:v>-5.3936099999991711</c:v>
                </c:pt>
                <c:pt idx="14">
                  <c:v>-4.5513950000022305</c:v>
                </c:pt>
                <c:pt idx="15">
                  <c:v>-5.4037200000020675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F1-4513-8C27-0B7CE0F0FB70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911.5</c:v>
                </c:pt>
                <c:pt idx="2">
                  <c:v>981</c:v>
                </c:pt>
                <c:pt idx="3">
                  <c:v>1004</c:v>
                </c:pt>
                <c:pt idx="4">
                  <c:v>1245</c:v>
                </c:pt>
                <c:pt idx="5">
                  <c:v>1246.5</c:v>
                </c:pt>
                <c:pt idx="6">
                  <c:v>1265.5</c:v>
                </c:pt>
                <c:pt idx="7">
                  <c:v>1314.5</c:v>
                </c:pt>
                <c:pt idx="8">
                  <c:v>1320</c:v>
                </c:pt>
                <c:pt idx="9">
                  <c:v>1388.5</c:v>
                </c:pt>
                <c:pt idx="10">
                  <c:v>1397</c:v>
                </c:pt>
                <c:pt idx="11">
                  <c:v>1273</c:v>
                </c:pt>
                <c:pt idx="12">
                  <c:v>1320.5</c:v>
                </c:pt>
                <c:pt idx="13">
                  <c:v>1563</c:v>
                </c:pt>
                <c:pt idx="14">
                  <c:v>1933.5</c:v>
                </c:pt>
                <c:pt idx="15">
                  <c:v>1986</c:v>
                </c:pt>
              </c:numCache>
            </c:numRef>
          </c:xVal>
          <c:yVal>
            <c:numRef>
              <c:f>aCTIVE!$P$21:$P$920</c:f>
              <c:numCache>
                <c:formatCode>General</c:formatCode>
                <c:ptCount val="900"/>
                <c:pt idx="0">
                  <c:v>-3.8582788288047989</c:v>
                </c:pt>
                <c:pt idx="1">
                  <c:v>-4.4169241360799081</c:v>
                </c:pt>
                <c:pt idx="2">
                  <c:v>-4.459519691598965</c:v>
                </c:pt>
                <c:pt idx="3">
                  <c:v>-4.4736160624901631</c:v>
                </c:pt>
                <c:pt idx="4">
                  <c:v>-4.6213215140022879</c:v>
                </c:pt>
                <c:pt idx="5">
                  <c:v>-4.6222408425386705</c:v>
                </c:pt>
                <c:pt idx="6">
                  <c:v>-4.6338856706661824</c:v>
                </c:pt>
                <c:pt idx="7">
                  <c:v>-4.6639170695213448</c:v>
                </c:pt>
                <c:pt idx="8">
                  <c:v>-4.6672879408214136</c:v>
                </c:pt>
                <c:pt idx="9">
                  <c:v>-4.7092706106495488</c:v>
                </c:pt>
                <c:pt idx="10">
                  <c:v>-4.7144801390223829</c:v>
                </c:pt>
                <c:pt idx="11">
                  <c:v>-4.6384823133480948</c:v>
                </c:pt>
                <c:pt idx="12">
                  <c:v>-4.6675943836668745</c:v>
                </c:pt>
                <c:pt idx="13">
                  <c:v>-4.8162191637153811</c:v>
                </c:pt>
                <c:pt idx="14">
                  <c:v>-5.0432933122018628</c:v>
                </c:pt>
                <c:pt idx="15">
                  <c:v>-5.0754698109752514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F1-4513-8C27-0B7CE0F0F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334576"/>
        <c:axId val="1"/>
      </c:scatterChart>
      <c:valAx>
        <c:axId val="829334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718570892924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334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183716321174139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14</xdr:col>
      <xdr:colOff>0</xdr:colOff>
      <xdr:row>18</xdr:row>
      <xdr:rowOff>38100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6C65BC61-F3CF-0B2C-C428-3D3A46533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257175</xdr:colOff>
      <xdr:row>0</xdr:row>
      <xdr:rowOff>0</xdr:rowOff>
    </xdr:from>
    <xdr:to>
      <xdr:col>29</xdr:col>
      <xdr:colOff>676275</xdr:colOff>
      <xdr:row>18</xdr:row>
      <xdr:rowOff>47625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63F11376-1267-2C44-0166-06AFC88E3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0</xdr:row>
      <xdr:rowOff>0</xdr:rowOff>
    </xdr:from>
    <xdr:to>
      <xdr:col>21</xdr:col>
      <xdr:colOff>238125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15DAD753-CAE3-A659-2486-0DDF10F3D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28515625" customWidth="1"/>
    <col min="4" max="4" width="8.28515625" customWidth="1"/>
    <col min="5" max="5" width="9.42578125" customWidth="1"/>
    <col min="6" max="6" width="16.28515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</v>
      </c>
      <c r="E1" s="29"/>
    </row>
    <row r="2" spans="1:6" x14ac:dyDescent="0.2">
      <c r="A2" t="s">
        <v>17</v>
      </c>
      <c r="B2" t="s">
        <v>46</v>
      </c>
      <c r="D2" s="9" t="s">
        <v>45</v>
      </c>
      <c r="E2" t="s">
        <v>44</v>
      </c>
    </row>
    <row r="3" spans="1:6" ht="13.5" thickBot="1" x14ac:dyDescent="0.25"/>
    <row r="4" spans="1:6" ht="14.25" thickTop="1" thickBot="1" x14ac:dyDescent="0.25">
      <c r="A4" s="28" t="s">
        <v>43</v>
      </c>
      <c r="C4" s="27">
        <v>48766.027000000002</v>
      </c>
      <c r="D4" s="26">
        <v>5.3901700000000003</v>
      </c>
    </row>
    <row r="5" spans="1:6" ht="13.5" thickTop="1" x14ac:dyDescent="0.2">
      <c r="A5" s="19" t="s">
        <v>35</v>
      </c>
      <c r="B5" s="13"/>
      <c r="C5" s="20">
        <v>-9.5</v>
      </c>
      <c r="D5" s="13" t="s">
        <v>36</v>
      </c>
    </row>
    <row r="6" spans="1:6" x14ac:dyDescent="0.2">
      <c r="A6" s="6" t="s">
        <v>1</v>
      </c>
    </row>
    <row r="7" spans="1:6" x14ac:dyDescent="0.2">
      <c r="A7" t="s">
        <v>2</v>
      </c>
      <c r="C7" s="9">
        <f>+C4</f>
        <v>48766.027000000002</v>
      </c>
    </row>
    <row r="8" spans="1:6" x14ac:dyDescent="0.2">
      <c r="A8" t="s">
        <v>3</v>
      </c>
      <c r="C8" s="9">
        <f>D4</f>
        <v>5.3901700000000003</v>
      </c>
    </row>
    <row r="9" spans="1:6" x14ac:dyDescent="0.2">
      <c r="A9" s="11" t="s">
        <v>30</v>
      </c>
      <c r="B9" s="11"/>
      <c r="C9" s="12">
        <v>21</v>
      </c>
      <c r="D9" s="12">
        <v>21</v>
      </c>
    </row>
    <row r="10" spans="1:6" ht="13.5" thickBot="1" x14ac:dyDescent="0.25">
      <c r="A10" s="13"/>
      <c r="B10" s="13"/>
      <c r="C10" s="5" t="s">
        <v>19</v>
      </c>
      <c r="D10" s="5" t="s">
        <v>20</v>
      </c>
    </row>
    <row r="11" spans="1:6" x14ac:dyDescent="0.2">
      <c r="A11" s="13" t="s">
        <v>14</v>
      </c>
      <c r="B11" s="13"/>
      <c r="C11" s="14">
        <f ca="1">INTERCEPT(INDIRECT(C14):R$934,INDIRECT(C13):$F$934)</f>
        <v>-5.8990517921405745</v>
      </c>
      <c r="D11" s="14">
        <f ca="1">INTERCEPT(INDIRECT(D14):S$934,INDIRECT(D13):$F$934)</f>
        <v>-3.8582788288047989</v>
      </c>
      <c r="E11" s="11" t="s">
        <v>38</v>
      </c>
      <c r="F11">
        <v>1</v>
      </c>
    </row>
    <row r="12" spans="1:6" x14ac:dyDescent="0.2">
      <c r="A12" s="13" t="s">
        <v>15</v>
      </c>
      <c r="B12" s="13"/>
      <c r="C12" s="14">
        <f ca="1">SLOPE(INDIRECT(C14):R$934,INDIRECT(C13):$F$934)</f>
        <v>4.2215871909038962E-4</v>
      </c>
      <c r="D12" s="14">
        <f ca="1">SLOPE(INDIRECT(D14):S$934,INDIRECT(D13):$F$934)</f>
        <v>-6.1288569092167781E-4</v>
      </c>
      <c r="E12" s="11" t="s">
        <v>39</v>
      </c>
      <c r="F12" s="21">
        <f ca="1">NOW()+15018.5+$C$5/24</f>
        <v>59970.810555555552</v>
      </c>
    </row>
    <row r="13" spans="1:6" x14ac:dyDescent="0.2">
      <c r="A13" s="11" t="s">
        <v>31</v>
      </c>
      <c r="B13" s="11"/>
      <c r="C13" s="12" t="str">
        <f>"F"&amp;C9</f>
        <v>F21</v>
      </c>
      <c r="D13" s="12" t="str">
        <f>"F"&amp;D9</f>
        <v>F21</v>
      </c>
      <c r="E13" s="11" t="s">
        <v>40</v>
      </c>
      <c r="F13" s="21">
        <f ca="1">ROUND(2*(F12-$C$7)/$C$8,0)/2+F11</f>
        <v>2079.5</v>
      </c>
    </row>
    <row r="14" spans="1:6" x14ac:dyDescent="0.2">
      <c r="A14" s="11" t="s">
        <v>32</v>
      </c>
      <c r="B14" s="11"/>
      <c r="C14" s="12" t="str">
        <f>"R"&amp;C9</f>
        <v>R21</v>
      </c>
      <c r="D14" s="12" t="str">
        <f>"S"&amp;D9</f>
        <v>S21</v>
      </c>
      <c r="E14" s="11" t="s">
        <v>41</v>
      </c>
      <c r="F14" s="22">
        <f ca="1">ROUND(2*(F12-$C$15)/$C$16,0)/2+F11</f>
        <v>94.5</v>
      </c>
    </row>
    <row r="15" spans="1:6" x14ac:dyDescent="0.2">
      <c r="A15" s="15" t="s">
        <v>16</v>
      </c>
      <c r="B15" s="13"/>
      <c r="C15" s="16">
        <f ca="1">($C7+C11)+($C8+C12)*INT(MAX($F21:$F3532))</f>
        <v>59465.843975423973</v>
      </c>
      <c r="D15" s="16">
        <f ca="1">($C7+D11)+($C8+D12)*INT(MAX($F21:$F3532))</f>
        <v>59465.829150189027</v>
      </c>
      <c r="E15" s="11" t="s">
        <v>42</v>
      </c>
      <c r="F15" s="23">
        <f ca="1">+$C$15+$C$16*F14-15018.5-$C$5/24</f>
        <v>44957.150767756262</v>
      </c>
    </row>
    <row r="16" spans="1:6" x14ac:dyDescent="0.2">
      <c r="A16" s="17" t="s">
        <v>4</v>
      </c>
      <c r="B16" s="13"/>
      <c r="C16" s="18">
        <f ca="1">+$C8+C12</f>
        <v>5.390592158719091</v>
      </c>
      <c r="D16" s="14">
        <f ca="1">+$C8+D12</f>
        <v>5.3895571143090786</v>
      </c>
      <c r="E16" s="24"/>
      <c r="F16" s="24" t="s">
        <v>37</v>
      </c>
    </row>
    <row r="17" spans="1:19" ht="13.5" thickBot="1" x14ac:dyDescent="0.25">
      <c r="A17" s="10" t="s">
        <v>29</v>
      </c>
      <c r="C17">
        <f>COUNT(C21:C1246)</f>
        <v>16</v>
      </c>
    </row>
    <row r="18" spans="1:19" ht="14.25" thickTop="1" thickBot="1" x14ac:dyDescent="0.25">
      <c r="A18" s="6" t="s">
        <v>22</v>
      </c>
      <c r="C18" s="3">
        <f ca="1">+C15</f>
        <v>59465.843975423973</v>
      </c>
      <c r="D18" s="4">
        <f ca="1">+C16</f>
        <v>5.390592158719091</v>
      </c>
      <c r="E18" s="25">
        <f>R19</f>
        <v>9</v>
      </c>
    </row>
    <row r="19" spans="1:19" ht="14.25" thickTop="1" thickBot="1" x14ac:dyDescent="0.25">
      <c r="A19" s="6" t="s">
        <v>23</v>
      </c>
      <c r="C19" s="3">
        <f ca="1">+D15</f>
        <v>59465.829150189027</v>
      </c>
      <c r="D19" s="4">
        <f ca="1">+D16</f>
        <v>5.3895571143090786</v>
      </c>
      <c r="E19" s="25">
        <f>S19</f>
        <v>9</v>
      </c>
      <c r="R19">
        <f>COUNT(R21:R321)</f>
        <v>9</v>
      </c>
      <c r="S19">
        <f>COUNT(S21:S321)</f>
        <v>9</v>
      </c>
    </row>
    <row r="20" spans="1:19" ht="14.25" thickTop="1" thickBot="1" x14ac:dyDescent="0.25">
      <c r="A20" s="5" t="s">
        <v>5</v>
      </c>
      <c r="B20" s="5" t="s">
        <v>6</v>
      </c>
      <c r="C20" s="5" t="s">
        <v>7</v>
      </c>
      <c r="D20" s="5" t="s">
        <v>12</v>
      </c>
      <c r="E20" s="5" t="s">
        <v>8</v>
      </c>
      <c r="F20" s="5" t="s">
        <v>9</v>
      </c>
      <c r="G20" s="5" t="s">
        <v>10</v>
      </c>
      <c r="H20" s="8" t="s">
        <v>11</v>
      </c>
      <c r="I20" s="8" t="s">
        <v>33</v>
      </c>
      <c r="J20" s="8" t="s">
        <v>34</v>
      </c>
      <c r="K20" s="8" t="s">
        <v>26</v>
      </c>
      <c r="L20" s="8" t="s">
        <v>27</v>
      </c>
      <c r="M20" s="8" t="s">
        <v>18</v>
      </c>
      <c r="N20" s="8" t="s">
        <v>21</v>
      </c>
      <c r="O20" s="8" t="s">
        <v>24</v>
      </c>
      <c r="P20" s="7" t="s">
        <v>25</v>
      </c>
      <c r="Q20" s="5" t="s">
        <v>13</v>
      </c>
      <c r="R20" s="7" t="s">
        <v>19</v>
      </c>
      <c r="S20" s="7" t="s">
        <v>20</v>
      </c>
    </row>
    <row r="21" spans="1:19" x14ac:dyDescent="0.2">
      <c r="A21" t="s">
        <v>58</v>
      </c>
      <c r="C21" s="9">
        <f>+$C$4</f>
        <v>48766.027000000002</v>
      </c>
      <c r="D21" s="9" t="s">
        <v>28</v>
      </c>
      <c r="E21">
        <f t="shared" ref="E21:E33" si="0">+(C21-C$7)/C$8</f>
        <v>0</v>
      </c>
      <c r="F21">
        <f>ROUND(2*E21,0)/2</f>
        <v>0</v>
      </c>
      <c r="G21">
        <f t="shared" ref="G21:G33" si="1">+C21-(C$7+F21*C$8)</f>
        <v>0</v>
      </c>
      <c r="H21">
        <f t="shared" ref="H21:H34" si="2">+G21</f>
        <v>0</v>
      </c>
      <c r="O21">
        <f ca="1">+C$11+C$12*$F21</f>
        <v>-5.8990517921405745</v>
      </c>
      <c r="P21">
        <f ca="1">+D$11+D$12*$F21</f>
        <v>-3.8582788288047989</v>
      </c>
      <c r="Q21" s="2">
        <f>+C21-15018.5</f>
        <v>33747.527000000002</v>
      </c>
    </row>
    <row r="22" spans="1:19" x14ac:dyDescent="0.2">
      <c r="A22" s="30" t="s">
        <v>48</v>
      </c>
      <c r="B22" s="31" t="s">
        <v>49</v>
      </c>
      <c r="C22" s="32">
        <v>53674.611299999997</v>
      </c>
      <c r="D22" s="32">
        <v>2.9999999999999997E-4</v>
      </c>
      <c r="E22">
        <f t="shared" si="0"/>
        <v>910.65482164755372</v>
      </c>
      <c r="F22" s="33">
        <f t="shared" ref="F22:F34" si="3">ROUND(2*E22,0)/2+1</f>
        <v>911.5</v>
      </c>
      <c r="G22">
        <f t="shared" si="1"/>
        <v>-4.5556550000037532</v>
      </c>
      <c r="H22">
        <f t="shared" si="2"/>
        <v>-4.5556550000037532</v>
      </c>
      <c r="O22">
        <f t="shared" ref="O22:O33" ca="1" si="4">+C$11+C$12*$F22</f>
        <v>-5.5142541196896842</v>
      </c>
      <c r="P22">
        <f t="shared" ref="P22:P33" ca="1" si="5">+D$11+D$12*$F22</f>
        <v>-4.4169241360799081</v>
      </c>
      <c r="Q22" s="2">
        <f t="shared" ref="Q22:Q33" si="6">+C22-15018.5</f>
        <v>38656.111299999997</v>
      </c>
      <c r="S22">
        <f>G22</f>
        <v>-4.5556550000037532</v>
      </c>
    </row>
    <row r="23" spans="1:19" x14ac:dyDescent="0.2">
      <c r="A23" s="34" t="s">
        <v>50</v>
      </c>
      <c r="B23" s="31" t="s">
        <v>51</v>
      </c>
      <c r="C23" s="32">
        <v>54048.387900000002</v>
      </c>
      <c r="D23" s="32">
        <v>2.9999999999999997E-4</v>
      </c>
      <c r="E23">
        <f t="shared" si="0"/>
        <v>979.99894251943806</v>
      </c>
      <c r="F23" s="33">
        <f t="shared" si="3"/>
        <v>981</v>
      </c>
      <c r="G23">
        <f t="shared" si="1"/>
        <v>-5.3958700000002864</v>
      </c>
      <c r="H23">
        <f t="shared" si="2"/>
        <v>-5.3958700000002864</v>
      </c>
      <c r="O23">
        <f t="shared" ca="1" si="4"/>
        <v>-5.4849140887129026</v>
      </c>
      <c r="P23">
        <f t="shared" ca="1" si="5"/>
        <v>-4.459519691598965</v>
      </c>
      <c r="Q23" s="2">
        <f t="shared" si="6"/>
        <v>39029.887900000002</v>
      </c>
      <c r="R23">
        <f t="shared" ref="R23:R32" si="7">G23</f>
        <v>-5.3958700000002864</v>
      </c>
    </row>
    <row r="24" spans="1:19" x14ac:dyDescent="0.2">
      <c r="A24" s="35" t="s">
        <v>52</v>
      </c>
      <c r="B24" s="36" t="s">
        <v>51</v>
      </c>
      <c r="C24" s="35">
        <v>54172.364000000001</v>
      </c>
      <c r="D24" s="35">
        <v>3.0000000000000001E-3</v>
      </c>
      <c r="E24">
        <f t="shared" si="0"/>
        <v>1002.9993488146013</v>
      </c>
      <c r="F24" s="33">
        <f t="shared" si="3"/>
        <v>1004</v>
      </c>
      <c r="G24">
        <f t="shared" si="1"/>
        <v>-5.3936800000010408</v>
      </c>
      <c r="H24">
        <f t="shared" si="2"/>
        <v>-5.3936800000010408</v>
      </c>
      <c r="O24">
        <f t="shared" ca="1" si="4"/>
        <v>-5.4752044381738232</v>
      </c>
      <c r="P24">
        <f t="shared" ca="1" si="5"/>
        <v>-4.4736160624901631</v>
      </c>
      <c r="Q24" s="2">
        <f t="shared" si="6"/>
        <v>39153.864000000001</v>
      </c>
      <c r="R24">
        <f t="shared" si="7"/>
        <v>-5.3936800000010408</v>
      </c>
    </row>
    <row r="25" spans="1:19" x14ac:dyDescent="0.2">
      <c r="A25" s="34" t="s">
        <v>50</v>
      </c>
      <c r="B25" s="31" t="s">
        <v>51</v>
      </c>
      <c r="C25" s="32">
        <v>55471.392399999997</v>
      </c>
      <c r="D25" s="32">
        <v>5.0000000000000001E-4</v>
      </c>
      <c r="E25">
        <f t="shared" si="0"/>
        <v>1243.998872020733</v>
      </c>
      <c r="F25" s="33">
        <f t="shared" si="3"/>
        <v>1245</v>
      </c>
      <c r="G25">
        <f t="shared" si="1"/>
        <v>-5.3962500000052387</v>
      </c>
      <c r="H25">
        <f t="shared" si="2"/>
        <v>-5.3962500000052387</v>
      </c>
      <c r="O25">
        <f t="shared" ca="1" si="4"/>
        <v>-5.3734641868730391</v>
      </c>
      <c r="P25">
        <f t="shared" ca="1" si="5"/>
        <v>-4.6213215140022879</v>
      </c>
      <c r="Q25" s="2">
        <f t="shared" si="6"/>
        <v>40452.892399999997</v>
      </c>
      <c r="R25">
        <f t="shared" si="7"/>
        <v>-5.3962500000052387</v>
      </c>
    </row>
    <row r="26" spans="1:19" x14ac:dyDescent="0.2">
      <c r="A26" s="34" t="s">
        <v>50</v>
      </c>
      <c r="B26" s="31" t="s">
        <v>49</v>
      </c>
      <c r="C26" s="32">
        <v>55480.319199999998</v>
      </c>
      <c r="D26" s="32">
        <v>8.0000000000000004E-4</v>
      </c>
      <c r="E26">
        <f t="shared" si="0"/>
        <v>1245.6549978943142</v>
      </c>
      <c r="F26" s="33">
        <f t="shared" si="3"/>
        <v>1246.5</v>
      </c>
      <c r="G26">
        <f t="shared" si="1"/>
        <v>-4.5547050000022864</v>
      </c>
      <c r="H26">
        <f t="shared" si="2"/>
        <v>-4.5547050000022864</v>
      </c>
      <c r="O26">
        <f t="shared" ca="1" si="4"/>
        <v>-5.3728309487944035</v>
      </c>
      <c r="P26">
        <f t="shared" ca="1" si="5"/>
        <v>-4.6222408425386705</v>
      </c>
      <c r="Q26" s="2">
        <f t="shared" si="6"/>
        <v>40461.819199999998</v>
      </c>
      <c r="S26">
        <f>G26</f>
        <v>-4.5547050000022864</v>
      </c>
    </row>
    <row r="27" spans="1:19" x14ac:dyDescent="0.2">
      <c r="A27" s="37" t="s">
        <v>53</v>
      </c>
      <c r="B27" s="38" t="s">
        <v>49</v>
      </c>
      <c r="C27" s="37">
        <v>55582.733500000002</v>
      </c>
      <c r="D27" s="37">
        <v>1.1999999999999999E-3</v>
      </c>
      <c r="E27">
        <f t="shared" si="0"/>
        <v>1264.655196403824</v>
      </c>
      <c r="F27" s="33">
        <f t="shared" si="3"/>
        <v>1265.5</v>
      </c>
      <c r="G27">
        <f t="shared" si="1"/>
        <v>-4.553635000003851</v>
      </c>
      <c r="H27">
        <f t="shared" si="2"/>
        <v>-4.553635000003851</v>
      </c>
      <c r="O27">
        <f t="shared" ca="1" si="4"/>
        <v>-5.3648099331316867</v>
      </c>
      <c r="P27">
        <f t="shared" ca="1" si="5"/>
        <v>-4.6338856706661824</v>
      </c>
      <c r="Q27" s="2">
        <f t="shared" si="6"/>
        <v>40564.233500000002</v>
      </c>
      <c r="S27">
        <f>G27</f>
        <v>-4.553635000003851</v>
      </c>
    </row>
    <row r="28" spans="1:19" x14ac:dyDescent="0.2">
      <c r="A28" s="37" t="s">
        <v>54</v>
      </c>
      <c r="B28" s="38" t="s">
        <v>49</v>
      </c>
      <c r="C28" s="37">
        <v>55846.849000000002</v>
      </c>
      <c r="D28" s="37">
        <v>1.1999999999999999E-3</v>
      </c>
      <c r="E28" s="30">
        <f t="shared" si="0"/>
        <v>1313.6546713740011</v>
      </c>
      <c r="F28" s="33">
        <f t="shared" si="3"/>
        <v>1314.5</v>
      </c>
      <c r="G28">
        <f t="shared" si="1"/>
        <v>-4.5564650000014808</v>
      </c>
      <c r="H28">
        <f t="shared" si="2"/>
        <v>-4.5564650000014808</v>
      </c>
      <c r="O28">
        <f t="shared" ca="1" si="4"/>
        <v>-5.3441241558962576</v>
      </c>
      <c r="P28">
        <f t="shared" ca="1" si="5"/>
        <v>-4.6639170695213448</v>
      </c>
      <c r="Q28" s="2">
        <f t="shared" si="6"/>
        <v>40828.349000000002</v>
      </c>
      <c r="S28">
        <f>G28</f>
        <v>-4.5564650000014808</v>
      </c>
    </row>
    <row r="29" spans="1:19" x14ac:dyDescent="0.2">
      <c r="A29" s="37" t="s">
        <v>54</v>
      </c>
      <c r="B29" s="38" t="s">
        <v>51</v>
      </c>
      <c r="C29" s="37">
        <v>55875.652399999999</v>
      </c>
      <c r="D29" s="37">
        <v>1.1999999999999999E-3</v>
      </c>
      <c r="E29" s="30">
        <f t="shared" si="0"/>
        <v>1318.9983618327431</v>
      </c>
      <c r="F29" s="33">
        <f t="shared" si="3"/>
        <v>1320</v>
      </c>
      <c r="G29">
        <f t="shared" si="1"/>
        <v>-5.3990000000048894</v>
      </c>
      <c r="H29">
        <f t="shared" si="2"/>
        <v>-5.3990000000048894</v>
      </c>
      <c r="O29">
        <f t="shared" ca="1" si="4"/>
        <v>-5.3418022829412601</v>
      </c>
      <c r="P29">
        <f t="shared" ca="1" si="5"/>
        <v>-4.6672879408214136</v>
      </c>
      <c r="Q29" s="2">
        <f t="shared" si="6"/>
        <v>40857.152399999999</v>
      </c>
      <c r="R29">
        <f t="shared" si="7"/>
        <v>-5.3990000000048894</v>
      </c>
    </row>
    <row r="30" spans="1:19" x14ac:dyDescent="0.2">
      <c r="A30" s="39" t="s">
        <v>55</v>
      </c>
      <c r="B30" s="36" t="s">
        <v>49</v>
      </c>
      <c r="C30" s="35">
        <v>56245.719499999999</v>
      </c>
      <c r="D30" s="35">
        <v>6.0000000000000006E-4</v>
      </c>
      <c r="E30" s="30">
        <f t="shared" si="0"/>
        <v>1387.6542854863569</v>
      </c>
      <c r="F30" s="33">
        <f t="shared" si="3"/>
        <v>1388.5</v>
      </c>
      <c r="G30">
        <f t="shared" si="1"/>
        <v>-4.5585449999998673</v>
      </c>
      <c r="H30">
        <f t="shared" si="2"/>
        <v>-4.5585449999998673</v>
      </c>
      <c r="O30">
        <f t="shared" ca="1" si="4"/>
        <v>-5.3128844106835684</v>
      </c>
      <c r="P30">
        <f t="shared" ca="1" si="5"/>
        <v>-4.7092706106495488</v>
      </c>
      <c r="Q30" s="2">
        <f t="shared" si="6"/>
        <v>41227.219499999999</v>
      </c>
      <c r="S30">
        <f>G30</f>
        <v>-4.5585449999998673</v>
      </c>
    </row>
    <row r="31" spans="1:19" x14ac:dyDescent="0.2">
      <c r="A31" s="39" t="s">
        <v>55</v>
      </c>
      <c r="B31" s="36" t="s">
        <v>51</v>
      </c>
      <c r="C31" s="35">
        <v>56290.691400000003</v>
      </c>
      <c r="D31" s="35">
        <v>4.0000000000000002E-4</v>
      </c>
      <c r="E31" s="30">
        <f t="shared" si="0"/>
        <v>1395.99760304406</v>
      </c>
      <c r="F31" s="33">
        <f t="shared" si="3"/>
        <v>1397</v>
      </c>
      <c r="G31">
        <f t="shared" si="1"/>
        <v>-5.4030899999997928</v>
      </c>
      <c r="H31">
        <f t="shared" si="2"/>
        <v>-5.4030899999997928</v>
      </c>
      <c r="O31">
        <f t="shared" ca="1" si="4"/>
        <v>-5.3092960615712999</v>
      </c>
      <c r="P31">
        <f t="shared" ca="1" si="5"/>
        <v>-4.7144801390223829</v>
      </c>
      <c r="Q31" s="2">
        <f t="shared" si="6"/>
        <v>41272.191400000003</v>
      </c>
      <c r="R31">
        <f t="shared" si="7"/>
        <v>-5.4030899999997928</v>
      </c>
    </row>
    <row r="32" spans="1:19" x14ac:dyDescent="0.2">
      <c r="A32" s="39" t="s">
        <v>56</v>
      </c>
      <c r="B32" s="36" t="s">
        <v>51</v>
      </c>
      <c r="C32" s="35">
        <v>55622.321029999999</v>
      </c>
      <c r="D32" s="35">
        <v>1E-4</v>
      </c>
      <c r="E32" s="30">
        <f t="shared" si="0"/>
        <v>1271.9995899943781</v>
      </c>
      <c r="F32" s="33">
        <f t="shared" si="3"/>
        <v>1273</v>
      </c>
      <c r="G32">
        <f t="shared" si="1"/>
        <v>-5.3923800000047777</v>
      </c>
      <c r="H32">
        <f t="shared" si="2"/>
        <v>-5.3923800000047777</v>
      </c>
      <c r="O32">
        <f t="shared" ca="1" si="4"/>
        <v>-5.3616437427385089</v>
      </c>
      <c r="P32">
        <f t="shared" ca="1" si="5"/>
        <v>-4.6384823133480948</v>
      </c>
      <c r="Q32" s="2">
        <f t="shared" si="6"/>
        <v>40603.821029999999</v>
      </c>
      <c r="R32">
        <f t="shared" si="7"/>
        <v>-5.3923800000047777</v>
      </c>
    </row>
    <row r="33" spans="1:19" x14ac:dyDescent="0.2">
      <c r="A33" s="39" t="s">
        <v>57</v>
      </c>
      <c r="B33" s="36" t="s">
        <v>51</v>
      </c>
      <c r="C33" s="35">
        <v>55879.225400000003</v>
      </c>
      <c r="D33" s="35">
        <v>2.2000000000000001E-3</v>
      </c>
      <c r="E33" s="30">
        <f t="shared" si="0"/>
        <v>1319.6612351744009</v>
      </c>
      <c r="F33" s="33">
        <f t="shared" si="3"/>
        <v>1320.5</v>
      </c>
      <c r="G33">
        <f t="shared" si="1"/>
        <v>-4.521085000000312</v>
      </c>
      <c r="H33">
        <f t="shared" si="2"/>
        <v>-4.521085000000312</v>
      </c>
      <c r="O33">
        <f t="shared" ca="1" si="4"/>
        <v>-5.3415912035817152</v>
      </c>
      <c r="P33">
        <f t="shared" ca="1" si="5"/>
        <v>-4.6675943836668745</v>
      </c>
      <c r="Q33" s="2">
        <f t="shared" si="6"/>
        <v>40860.725400000003</v>
      </c>
      <c r="S33">
        <f>G33</f>
        <v>-4.521085000000312</v>
      </c>
    </row>
    <row r="34" spans="1:19" x14ac:dyDescent="0.2">
      <c r="A34" s="40" t="s">
        <v>0</v>
      </c>
      <c r="B34" s="41" t="s">
        <v>51</v>
      </c>
      <c r="C34" s="42">
        <v>57185.469100000002</v>
      </c>
      <c r="D34" s="42">
        <v>5.0000000000000001E-3</v>
      </c>
      <c r="E34" s="30">
        <f>+(C34-C$7)/C$8</f>
        <v>1561.9993618012047</v>
      </c>
      <c r="F34" s="33">
        <f t="shared" si="3"/>
        <v>1563</v>
      </c>
      <c r="G34">
        <f>+C34-(C$7+F34*C$8)</f>
        <v>-5.3936099999991711</v>
      </c>
      <c r="H34">
        <f t="shared" si="2"/>
        <v>-5.3936099999991711</v>
      </c>
      <c r="O34">
        <f ca="1">+C$11+C$12*$F34</f>
        <v>-5.2392177142022955</v>
      </c>
      <c r="P34">
        <f ca="1">+D$11+D$12*$F34</f>
        <v>-4.8162191637153811</v>
      </c>
      <c r="Q34" s="2">
        <f>+C34-15018.5</f>
        <v>42166.969100000002</v>
      </c>
      <c r="R34">
        <f>G34</f>
        <v>-5.3936099999991711</v>
      </c>
      <c r="S34">
        <f>G34</f>
        <v>-5.3936099999991711</v>
      </c>
    </row>
    <row r="35" spans="1:19" x14ac:dyDescent="0.2">
      <c r="A35" s="43" t="s">
        <v>59</v>
      </c>
      <c r="B35" s="44" t="s">
        <v>49</v>
      </c>
      <c r="C35" s="45">
        <v>59183.369299999998</v>
      </c>
      <c r="D35" s="45">
        <v>5.0000000000000001E-4</v>
      </c>
      <c r="E35" s="30">
        <f>+(C35-C$7)/C$8</f>
        <v>1932.6556119751317</v>
      </c>
      <c r="F35" s="33">
        <f>ROUND(2*E35,0)/2+1</f>
        <v>1933.5</v>
      </c>
      <c r="G35">
        <f>+C35-(C$7+F35*C$8)</f>
        <v>-4.5513950000022305</v>
      </c>
      <c r="H35">
        <f>+G35</f>
        <v>-4.5513950000022305</v>
      </c>
      <c r="O35">
        <f ca="1">+C$11+C$12*$F35</f>
        <v>-5.0828079087793059</v>
      </c>
      <c r="P35">
        <f ca="1">+D$11+D$12*$F35</f>
        <v>-5.0432933122018628</v>
      </c>
      <c r="Q35" s="2">
        <f>+C35-15018.5</f>
        <v>44164.869299999998</v>
      </c>
      <c r="R35">
        <f>G35</f>
        <v>-4.5513950000022305</v>
      </c>
      <c r="S35">
        <f>G35</f>
        <v>-4.5513950000022305</v>
      </c>
    </row>
    <row r="36" spans="1:19" ht="12" customHeight="1" x14ac:dyDescent="0.2">
      <c r="A36" s="46" t="s">
        <v>60</v>
      </c>
      <c r="B36" s="47" t="s">
        <v>51</v>
      </c>
      <c r="C36" s="48">
        <v>59465.500899999999</v>
      </c>
      <c r="D36" s="46">
        <v>1.6000000000000001E-3</v>
      </c>
      <c r="E36" s="30">
        <f t="shared" ref="E36" si="8">+(C36-C$7)/C$8</f>
        <v>1984.9974861646288</v>
      </c>
      <c r="F36" s="33">
        <f t="shared" ref="F36" si="9">ROUND(2*E36,0)/2+1</f>
        <v>1986</v>
      </c>
      <c r="G36">
        <f t="shared" ref="G36" si="10">+C36-(C$7+F36*C$8)</f>
        <v>-5.4037200000020675</v>
      </c>
      <c r="H36">
        <f t="shared" ref="H36" si="11">+G36</f>
        <v>-5.4037200000020675</v>
      </c>
      <c r="O36">
        <f t="shared" ref="O36" ca="1" si="12">+C$11+C$12*$F36</f>
        <v>-5.0606445760270606</v>
      </c>
      <c r="P36">
        <f t="shared" ref="P36" ca="1" si="13">+D$11+D$12*$F36</f>
        <v>-5.0754698109752514</v>
      </c>
      <c r="Q36" s="2">
        <f t="shared" ref="Q36" si="14">+C36-15018.5</f>
        <v>44447.000899999999</v>
      </c>
      <c r="R36">
        <f t="shared" ref="R36" si="15">G36</f>
        <v>-5.4037200000020675</v>
      </c>
      <c r="S36">
        <f t="shared" ref="S36" si="16">G36</f>
        <v>-5.4037200000020675</v>
      </c>
    </row>
    <row r="37" spans="1:19" ht="12" customHeight="1" x14ac:dyDescent="0.2"/>
    <row r="38" spans="1:19" ht="12" customHeight="1" x14ac:dyDescent="0.2"/>
    <row r="39" spans="1:19" ht="12" customHeight="1" x14ac:dyDescent="0.2"/>
    <row r="40" spans="1:19" ht="12" customHeight="1" x14ac:dyDescent="0.2"/>
  </sheetData>
  <phoneticPr fontId="7" type="noConversion"/>
  <hyperlinks>
    <hyperlink ref="H2183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2023-01-26T06:27:12Z</dcterms:modified>
</cp:coreProperties>
</file>