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D005234-7033-44C5-9C15-08259BCF006C}" xr6:coauthVersionLast="47" xr6:coauthVersionMax="47" xr10:uidLastSave="{00000000-0000-0000-0000-000000000000}"/>
  <bookViews>
    <workbookView xWindow="14955" yWindow="690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Q63" i="1"/>
  <c r="E62" i="1"/>
  <c r="F62" i="1"/>
  <c r="G62" i="1" s="1"/>
  <c r="Q62" i="1"/>
  <c r="E61" i="1"/>
  <c r="F61" i="1"/>
  <c r="G61" i="1"/>
  <c r="Q61" i="1"/>
  <c r="E60" i="1"/>
  <c r="F60" i="1"/>
  <c r="G60" i="1"/>
  <c r="C13" i="1"/>
  <c r="Q60" i="1"/>
  <c r="E46" i="1"/>
  <c r="F46" i="1"/>
  <c r="G46" i="1"/>
  <c r="Q46" i="1"/>
  <c r="E59" i="1"/>
  <c r="F59" i="1"/>
  <c r="G59" i="1"/>
  <c r="E54" i="1"/>
  <c r="F54" i="1"/>
  <c r="G54" i="1"/>
  <c r="E55" i="1"/>
  <c r="F55" i="1"/>
  <c r="G55" i="1"/>
  <c r="E56" i="1"/>
  <c r="F56" i="1"/>
  <c r="G56" i="1"/>
  <c r="E58" i="1"/>
  <c r="F58" i="1"/>
  <c r="G58" i="1"/>
  <c r="E57" i="1"/>
  <c r="F57" i="1"/>
  <c r="G57" i="1"/>
  <c r="C14" i="1"/>
  <c r="D14" i="1"/>
  <c r="D13" i="1"/>
  <c r="Q59" i="1"/>
  <c r="Q54" i="1"/>
  <c r="Q55" i="1"/>
  <c r="Q56" i="1"/>
  <c r="Q58" i="1"/>
  <c r="Q57" i="1"/>
  <c r="E23" i="1"/>
  <c r="F23" i="1"/>
  <c r="G23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3" i="1"/>
  <c r="F33" i="1"/>
  <c r="G33" i="1"/>
  <c r="E36" i="1"/>
  <c r="F36" i="1"/>
  <c r="G36" i="1"/>
  <c r="E38" i="1"/>
  <c r="F38" i="1"/>
  <c r="G38" i="1"/>
  <c r="E39" i="1"/>
  <c r="F39" i="1"/>
  <c r="G39" i="1"/>
  <c r="E40" i="1"/>
  <c r="F40" i="1"/>
  <c r="G40" i="1"/>
  <c r="E41" i="1"/>
  <c r="F41" i="1"/>
  <c r="G41" i="1"/>
  <c r="E43" i="1"/>
  <c r="F43" i="1"/>
  <c r="G43" i="1"/>
  <c r="E48" i="1"/>
  <c r="F48" i="1"/>
  <c r="G48" i="1"/>
  <c r="E50" i="1"/>
  <c r="F50" i="1"/>
  <c r="G50" i="1"/>
  <c r="E53" i="1"/>
  <c r="F53" i="1"/>
  <c r="G53" i="1"/>
  <c r="E21" i="1"/>
  <c r="F21" i="1"/>
  <c r="G21" i="1"/>
  <c r="E22" i="1"/>
  <c r="F22" i="1"/>
  <c r="G22" i="1"/>
  <c r="J22" i="1"/>
  <c r="E24" i="1"/>
  <c r="F24" i="1"/>
  <c r="G24" i="1"/>
  <c r="J24" i="1"/>
  <c r="E30" i="1"/>
  <c r="F30" i="1"/>
  <c r="G30" i="1"/>
  <c r="E31" i="1"/>
  <c r="F31" i="1"/>
  <c r="G31" i="1"/>
  <c r="E32" i="1"/>
  <c r="F32" i="1"/>
  <c r="G32" i="1"/>
  <c r="E34" i="1"/>
  <c r="F34" i="1"/>
  <c r="G34" i="1"/>
  <c r="K34" i="1"/>
  <c r="E35" i="1"/>
  <c r="F35" i="1"/>
  <c r="G35" i="1"/>
  <c r="E37" i="1"/>
  <c r="F37" i="1"/>
  <c r="G37" i="1"/>
  <c r="E44" i="1"/>
  <c r="F44" i="1"/>
  <c r="G44" i="1"/>
  <c r="E42" i="1"/>
  <c r="F42" i="1"/>
  <c r="G42" i="1"/>
  <c r="E45" i="1"/>
  <c r="F45" i="1"/>
  <c r="G45" i="1"/>
  <c r="E47" i="1"/>
  <c r="F47" i="1"/>
  <c r="G47" i="1"/>
  <c r="E49" i="1"/>
  <c r="F49" i="1"/>
  <c r="G49" i="1"/>
  <c r="E51" i="1"/>
  <c r="F51" i="1"/>
  <c r="G51" i="1"/>
  <c r="E52" i="1"/>
  <c r="F52" i="1"/>
  <c r="G52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35" i="2"/>
  <c r="C35" i="2"/>
  <c r="E35" i="2"/>
  <c r="G34" i="2"/>
  <c r="C34" i="2"/>
  <c r="E34" i="2"/>
  <c r="G33" i="2"/>
  <c r="C33" i="2"/>
  <c r="E33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5" i="2"/>
  <c r="B35" i="2"/>
  <c r="D35" i="2"/>
  <c r="A35" i="2"/>
  <c r="H34" i="2"/>
  <c r="B34" i="2"/>
  <c r="D34" i="2"/>
  <c r="A34" i="2"/>
  <c r="H33" i="2"/>
  <c r="B33" i="2"/>
  <c r="D33" i="2"/>
  <c r="A33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3" i="1"/>
  <c r="Q51" i="1"/>
  <c r="Q52" i="1"/>
  <c r="F12" i="1"/>
  <c r="Q50" i="1"/>
  <c r="Q43" i="1"/>
  <c r="Q47" i="1"/>
  <c r="Q48" i="1"/>
  <c r="Q49" i="1"/>
  <c r="Q45" i="1"/>
  <c r="Q42" i="1"/>
  <c r="Q44" i="1"/>
  <c r="Q35" i="1"/>
  <c r="Q36" i="1"/>
  <c r="Q37" i="1"/>
  <c r="Q38" i="1"/>
  <c r="Q39" i="1"/>
  <c r="Q40" i="1"/>
  <c r="Q41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S49" i="1"/>
  <c r="K49" i="1"/>
  <c r="R50" i="1"/>
  <c r="K50" i="1"/>
  <c r="R33" i="1"/>
  <c r="J33" i="1"/>
  <c r="K35" i="1"/>
  <c r="S35" i="1"/>
  <c r="S47" i="1"/>
  <c r="K47" i="1"/>
  <c r="R48" i="1"/>
  <c r="K48" i="1"/>
  <c r="R26" i="1"/>
  <c r="K26" i="1"/>
  <c r="S58" i="1"/>
  <c r="K58" i="1"/>
  <c r="R43" i="1"/>
  <c r="K43" i="1"/>
  <c r="K56" i="1"/>
  <c r="R56" i="1"/>
  <c r="S52" i="1"/>
  <c r="J52" i="1"/>
  <c r="S42" i="1"/>
  <c r="K42" i="1"/>
  <c r="K32" i="1"/>
  <c r="S32" i="1"/>
  <c r="J21" i="1"/>
  <c r="S21" i="1"/>
  <c r="R41" i="1"/>
  <c r="K41" i="1"/>
  <c r="R25" i="1"/>
  <c r="K25" i="1"/>
  <c r="S45" i="1"/>
  <c r="K45" i="1"/>
  <c r="R36" i="1"/>
  <c r="K36" i="1"/>
  <c r="K44" i="1"/>
  <c r="S44" i="1"/>
  <c r="S31" i="1"/>
  <c r="K31" i="1"/>
  <c r="R40" i="1"/>
  <c r="K40" i="1"/>
  <c r="S55" i="1"/>
  <c r="K55" i="1"/>
  <c r="K46" i="1"/>
  <c r="R46" i="1"/>
  <c r="S51" i="1"/>
  <c r="K51" i="1"/>
  <c r="R53" i="1"/>
  <c r="J53" i="1"/>
  <c r="J23" i="1"/>
  <c r="R23" i="1"/>
  <c r="R60" i="1"/>
  <c r="K60" i="1"/>
  <c r="K37" i="1"/>
  <c r="S37" i="1"/>
  <c r="S30" i="1"/>
  <c r="K30" i="1"/>
  <c r="K39" i="1"/>
  <c r="R39" i="1"/>
  <c r="R29" i="1"/>
  <c r="K29" i="1"/>
  <c r="K54" i="1"/>
  <c r="S54" i="1"/>
  <c r="R28" i="1"/>
  <c r="K28" i="1"/>
  <c r="R38" i="1"/>
  <c r="K38" i="1"/>
  <c r="R27" i="1"/>
  <c r="K27" i="1"/>
  <c r="R57" i="1"/>
  <c r="K57" i="1"/>
  <c r="K59" i="1"/>
  <c r="S59" i="1"/>
  <c r="K61" i="1"/>
  <c r="R61" i="1"/>
  <c r="E18" i="1"/>
  <c r="S18" i="1"/>
  <c r="E19" i="1"/>
  <c r="D11" i="1"/>
  <c r="D12" i="1"/>
  <c r="P63" i="1" l="1"/>
  <c r="R63" i="1"/>
  <c r="K63" i="1"/>
  <c r="P62" i="1"/>
  <c r="K62" i="1"/>
  <c r="R62" i="1"/>
  <c r="D16" i="1"/>
  <c r="D19" i="1" s="1"/>
  <c r="P40" i="1"/>
  <c r="P42" i="1"/>
  <c r="P27" i="1"/>
  <c r="P55" i="1"/>
  <c r="P58" i="1"/>
  <c r="P44" i="1"/>
  <c r="P45" i="1"/>
  <c r="P39" i="1"/>
  <c r="P22" i="1"/>
  <c r="P41" i="1"/>
  <c r="P43" i="1"/>
  <c r="P37" i="1"/>
  <c r="P28" i="1"/>
  <c r="P29" i="1"/>
  <c r="P21" i="1"/>
  <c r="P23" i="1"/>
  <c r="P26" i="1"/>
  <c r="P35" i="1"/>
  <c r="P51" i="1"/>
  <c r="P56" i="1"/>
  <c r="P33" i="1"/>
  <c r="D15" i="1"/>
  <c r="C19" i="1" s="1"/>
  <c r="P54" i="1"/>
  <c r="P34" i="1"/>
  <c r="P47" i="1"/>
  <c r="P49" i="1"/>
  <c r="P31" i="1"/>
  <c r="P61" i="1"/>
  <c r="P59" i="1"/>
  <c r="P36" i="1"/>
  <c r="P30" i="1"/>
  <c r="P24" i="1"/>
  <c r="P46" i="1"/>
  <c r="P60" i="1"/>
  <c r="P53" i="1"/>
  <c r="P38" i="1"/>
  <c r="P57" i="1"/>
  <c r="P32" i="1"/>
  <c r="P25" i="1"/>
  <c r="P50" i="1"/>
  <c r="P48" i="1"/>
  <c r="P52" i="1"/>
  <c r="F13" i="1"/>
  <c r="C12" i="1"/>
  <c r="C11" i="1"/>
  <c r="O63" i="1" l="1"/>
  <c r="O62" i="1"/>
  <c r="R18" i="1"/>
  <c r="C16" i="1"/>
  <c r="D18" i="1" s="1"/>
  <c r="O33" i="1"/>
  <c r="O54" i="1"/>
  <c r="O61" i="1"/>
  <c r="O29" i="1"/>
  <c r="O47" i="1"/>
  <c r="O44" i="1"/>
  <c r="O36" i="1"/>
  <c r="O56" i="1"/>
  <c r="O25" i="1"/>
  <c r="O21" i="1"/>
  <c r="O55" i="1"/>
  <c r="O41" i="1"/>
  <c r="O48" i="1"/>
  <c r="O43" i="1"/>
  <c r="O57" i="1"/>
  <c r="O59" i="1"/>
  <c r="O42" i="1"/>
  <c r="O31" i="1"/>
  <c r="O35" i="1"/>
  <c r="O30" i="1"/>
  <c r="O34" i="1"/>
  <c r="O37" i="1"/>
  <c r="O45" i="1"/>
  <c r="O22" i="1"/>
  <c r="O58" i="1"/>
  <c r="O32" i="1"/>
  <c r="O23" i="1"/>
  <c r="O28" i="1"/>
  <c r="O51" i="1"/>
  <c r="O39" i="1"/>
  <c r="O26" i="1"/>
  <c r="O24" i="1"/>
  <c r="O27" i="1"/>
  <c r="O53" i="1"/>
  <c r="O49" i="1"/>
  <c r="O52" i="1"/>
  <c r="C15" i="1"/>
  <c r="O40" i="1"/>
  <c r="O60" i="1"/>
  <c r="O50" i="1"/>
  <c r="O38" i="1"/>
  <c r="O46" i="1"/>
  <c r="C18" i="1" l="1"/>
  <c r="F14" i="1"/>
  <c r="F15" i="1" s="1"/>
</calcChain>
</file>

<file path=xl/sharedStrings.xml><?xml version="1.0" encoding="utf-8"?>
<sst xmlns="http://schemas.openxmlformats.org/spreadsheetml/2006/main" count="348" uniqueCount="181">
  <si>
    <t>OEJV 0191</t>
  </si>
  <si>
    <t>0.0052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</si>
  <si>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</si>
  <si>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</si>
  <si>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</si>
  <si>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</si>
  <si>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</si>
  <si>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</si>
  <si>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</si>
  <si>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</si>
  <si>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</si>
  <si>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</si>
  <si>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</si>
  <si>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</si>
  <si>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</si>
  <si>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</si>
  <si>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</si>
  <si>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</si>
  <si>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</si>
  <si>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</si>
  <si>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</si>
  <si>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</si>
  <si>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</si>
  <si>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</si>
  <si>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</si>
  <si>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IBVS 5464</t>
  </si>
  <si>
    <t>II</t>
  </si>
  <si>
    <t>I</t>
  </si>
  <si>
    <t>IBVS 5476</t>
  </si>
  <si>
    <t>IBVS 5462</t>
  </si>
  <si>
    <t>IBVS 5386</t>
  </si>
  <si>
    <t>Prim</t>
  </si>
  <si>
    <t>Sec</t>
  </si>
  <si>
    <t>Primary</t>
  </si>
  <si>
    <t>Secondary</t>
  </si>
  <si>
    <t>Prim Fit</t>
  </si>
  <si>
    <t>Sec. Fit</t>
  </si>
  <si>
    <t>??</t>
  </si>
  <si>
    <t>Sec. Ephemeris =</t>
  </si>
  <si>
    <t>Prim. Ephemeris =</t>
  </si>
  <si>
    <t># of data points:</t>
  </si>
  <si>
    <t>OEJV 0074</t>
  </si>
  <si>
    <t>OEJV 0094</t>
  </si>
  <si>
    <t>IBVS 5920</t>
  </si>
  <si>
    <t>IBVS 5933</t>
  </si>
  <si>
    <t>Eccentric orbit</t>
  </si>
  <si>
    <t>IBVS 5974</t>
  </si>
  <si>
    <t>IBVS 5870</t>
  </si>
  <si>
    <t>IBVS 6011</t>
  </si>
  <si>
    <t>IBVS 6042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</si>
  <si>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</si>
  <si>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</si>
  <si>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</si>
  <si>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</si>
  <si>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</si>
  <si>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</si>
  <si>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</si>
  <si>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</si>
  <si>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</si>
  <si>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(PST=8, PDT=MDT=7, MDT=CST=6, etc.)</t>
  </si>
  <si>
    <t>Start of Lin fit (row)</t>
  </si>
  <si>
    <t>IBVS 6093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</si>
  <si>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</si>
  <si>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</si>
  <si>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</si>
  <si>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</si>
  <si>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</si>
  <si>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</si>
  <si>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</si>
  <si>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</si>
  <si>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</si>
  <si>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</si>
  <si>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</si>
  <si>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</si>
  <si>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</si>
  <si>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2451767.4100 </t>
  </si>
  <si>
    <t> 10.08.2000 21:50 </t>
  </si>
  <si>
    <t> -0.0012 </t>
  </si>
  <si>
    <t>E </t>
  </si>
  <si>
    <t>?</t>
  </si>
  <si>
    <t> Ö.Degirmenci et al. </t>
  </si>
  <si>
    <t>IBVS 5386 </t>
  </si>
  <si>
    <t>2451774.4893 </t>
  </si>
  <si>
    <t> 17.08.2000 23:44 </t>
  </si>
  <si>
    <t> -0.0008 </t>
  </si>
  <si>
    <t>2451797.4962 </t>
  </si>
  <si>
    <t> 09.09.2000 23:54 </t>
  </si>
  <si>
    <t> -0.0007 </t>
  </si>
  <si>
    <t>2451797.4967 </t>
  </si>
  <si>
    <t> 09.09.2000 23:55 </t>
  </si>
  <si>
    <t> -0.0002 </t>
  </si>
  <si>
    <t>2451805.330 </t>
  </si>
  <si>
    <t> 17.09.2000 19:55 </t>
  </si>
  <si>
    <t> 0.007 </t>
  </si>
  <si>
    <t>2451819.4840 </t>
  </si>
  <si>
    <t> 01.10.2000 23:36 </t>
  </si>
  <si>
    <t> 0.0032 </t>
  </si>
  <si>
    <t>2451835.4153 </t>
  </si>
  <si>
    <t> 17.10.2000 21:58 </t>
  </si>
  <si>
    <t> 0.0067 </t>
  </si>
  <si>
    <t>2453548.51099 </t>
  </si>
  <si>
    <t> 27.06.2005 00:15 </t>
  </si>
  <si>
    <t> -0.01276 </t>
  </si>
  <si>
    <t>C </t>
  </si>
  <si>
    <t>R</t>
  </si>
  <si>
    <t> L.Brát </t>
  </si>
  <si>
    <t>OEJV 0074 </t>
  </si>
  <si>
    <t>2453611.48840 </t>
  </si>
  <si>
    <t> 28.08.2005 23:43 </t>
  </si>
  <si>
    <t> 0.00077 </t>
  </si>
  <si>
    <t>2454001.56520 </t>
  </si>
  <si>
    <t> 23.09.2006 01:33 </t>
  </si>
  <si>
    <t> -0.01380 </t>
  </si>
  <si>
    <t> P.Svoboda </t>
  </si>
  <si>
    <t>2454018.53035 </t>
  </si>
  <si>
    <t> 10.10.2006 00:43 </t>
  </si>
  <si>
    <t> 0.00089 </t>
  </si>
  <si>
    <t>2454080.4710 </t>
  </si>
  <si>
    <t> 10.12.2006 23:18 </t>
  </si>
  <si>
    <t> 0.0004 </t>
  </si>
  <si>
    <t>OEJV 0094 </t>
  </si>
  <si>
    <t>2454080.4715 </t>
  </si>
  <si>
    <t> 0.0009 </t>
  </si>
  <si>
    <t>2454080.4716 </t>
  </si>
  <si>
    <t> 10.12.2006 23:19 </t>
  </si>
  <si>
    <t> 0.0010 </t>
  </si>
  <si>
    <t>B</t>
  </si>
  <si>
    <t>2454663.4449 </t>
  </si>
  <si>
    <t> 15.07.2008 22:40 </t>
  </si>
  <si>
    <t> -0.0195 </t>
  </si>
  <si>
    <t> S.Kleidis </t>
  </si>
  <si>
    <t>IBVS 5933 </t>
  </si>
  <si>
    <t>2454825.5334 </t>
  </si>
  <si>
    <t> 25.12.2008 00:48 </t>
  </si>
  <si>
    <t> S.Dvorak </t>
  </si>
  <si>
    <t>IBVS 5870 </t>
  </si>
  <si>
    <t>2455153.659 </t>
  </si>
  <si>
    <t> 18.11.2009 03:48 </t>
  </si>
  <si>
    <t> -0.025 </t>
  </si>
  <si>
    <t> R.Diethelm </t>
  </si>
  <si>
    <t>IBVS 5920 </t>
  </si>
  <si>
    <t>2455491.685 </t>
  </si>
  <si>
    <t> 22.10.2010 04:26 </t>
  </si>
  <si>
    <t> -0.021 </t>
  </si>
  <si>
    <t>IBVS 5974 </t>
  </si>
  <si>
    <t>2455843.8610 </t>
  </si>
  <si>
    <t> 09.10.2011 08:39 </t>
  </si>
  <si>
    <t> -0.0247 </t>
  </si>
  <si>
    <t>IBVS 6011 </t>
  </si>
  <si>
    <t>2455844.9056 </t>
  </si>
  <si>
    <t> 10.10.2011 09:44 </t>
  </si>
  <si>
    <t> -0.0029 </t>
  </si>
  <si>
    <t>2455850.9355 </t>
  </si>
  <si>
    <t> 16.10.2011 10:27 </t>
  </si>
  <si>
    <t> -0.0292 </t>
  </si>
  <si>
    <t>2456230.7058 </t>
  </si>
  <si>
    <t> 30.10.2012 04:56 </t>
  </si>
  <si>
    <t> -0.0075 </t>
  </si>
  <si>
    <t>IBVS 6042 </t>
  </si>
  <si>
    <t>2456530.5196 </t>
  </si>
  <si>
    <t> 26.08.2013 00:28 </t>
  </si>
  <si>
    <t> -0.0280 </t>
  </si>
  <si>
    <t>IBVS 6093 </t>
  </si>
  <si>
    <t>2456585.3804 </t>
  </si>
  <si>
    <t> 19.10.2013 21:07 </t>
  </si>
  <si>
    <t> -0.0294 </t>
  </si>
  <si>
    <t>-I</t>
  </si>
  <si>
    <t> F.Agerer </t>
  </si>
  <si>
    <t>BAVM 234 </t>
  </si>
  <si>
    <t>2456908.5163 </t>
  </si>
  <si>
    <t> 08.09.2014 00:23 </t>
  </si>
  <si>
    <t>2490</t>
  </si>
  <si>
    <t> -0.0102 </t>
  </si>
  <si>
    <t>BAVM 239 </t>
  </si>
  <si>
    <t>IBVS 6202</t>
  </si>
  <si>
    <t>OEJV 0179</t>
  </si>
  <si>
    <t>IBVS 6230</t>
  </si>
  <si>
    <t>OEJV 0205</t>
  </si>
  <si>
    <t>JBAV, 60</t>
  </si>
  <si>
    <t>JBAV, 79</t>
  </si>
  <si>
    <t>V0821 Cas / GSC 4001-1445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</si>
</sst>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8" fillId="24" borderId="21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1" fillId="0" borderId="0" xfId="42" applyFont="1"/>
    <xf numFmtId="0" fontId="37" fillId="0" borderId="0" xfId="42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165" fontId="35" fillId="0" borderId="0" xfId="42" applyNumberFormat="1" applyFont="1" applyAlignment="1">
      <alignment horizontal="right" wrapText="1"/>
    </xf>
    <xf numFmtId="165" fontId="35" fillId="0" borderId="0" xfId="43" applyNumberFormat="1" applyFont="1" applyAlignment="1">
      <alignment horizontal="right"/>
    </xf>
    <xf numFmtId="165" fontId="37" fillId="0" borderId="0" xfId="42" applyNumberFormat="1" applyFont="1" applyAlignment="1">
      <alignment horizontal="right"/>
    </xf>
    <xf numFmtId="165" fontId="38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 applyProtection="1">
      <alignment horizontal="right" vertical="center" wrapText="1"/>
      <protection locked="0"/>
    </xf>
    <xf numFmtId="165" fontId="5" fillId="0" borderId="0" xfId="0" applyNumberFormat="1" applyFont="1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V0821 Cas - O-C Diagr.</a:t>
            </a:r>
          </a:p>
        </c:rich>
      </c:tx>
      <c:layout>
        <c:manualLayout>
          <c:xMode val="edge"/>
          <c:yMode val="edge"/>
          <c:x val="0.3541672134733158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23926380368099"/>
          <c:w val="0.8038208072591268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E-431A-AF1A-747180F235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E-431A-AF1A-747180F235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-0.1270349000042188</c:v>
                </c:pt>
                <c:pt idx="1">
                  <c:v>-0.1270349000042188</c:v>
                </c:pt>
                <c:pt idx="2">
                  <c:v>5.8839999110205099E-4</c:v>
                </c:pt>
                <c:pt idx="3">
                  <c:v>5.8839999110205099E-4</c:v>
                </c:pt>
                <c:pt idx="12">
                  <c:v>-2.9446000044117682E-3</c:v>
                </c:pt>
                <c:pt idx="31">
                  <c:v>-0.18383149999863235</c:v>
                </c:pt>
                <c:pt idx="32">
                  <c:v>-2.7927000002819113E-2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E-431A-AF1A-747180F235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">
                  <c:v>-5.9999999939464033E-4</c:v>
                </c:pt>
                <c:pt idx="5">
                  <c:v>0</c:v>
                </c:pt>
                <c:pt idx="6">
                  <c:v>-3.136000013910234E-4</c:v>
                </c:pt>
                <c:pt idx="7">
                  <c:v>-2.0780000340892002E-4</c:v>
                </c:pt>
                <c:pt idx="8">
                  <c:v>2.9219999851193279E-4</c:v>
                </c:pt>
                <c:pt idx="9">
                  <c:v>-0.13029810000443831</c:v>
                </c:pt>
                <c:pt idx="10">
                  <c:v>-0.13432530000864062</c:v>
                </c:pt>
                <c:pt idx="11">
                  <c:v>-0.13080590000026859</c:v>
                </c:pt>
                <c:pt idx="13">
                  <c:v>8.5799999214941636E-4</c:v>
                </c:pt>
                <c:pt idx="14">
                  <c:v>-0.15640710000297986</c:v>
                </c:pt>
                <c:pt idx="15">
                  <c:v>-5.2427999980864115E-3</c:v>
                </c:pt>
                <c:pt idx="16">
                  <c:v>-0.15906750000431202</c:v>
                </c:pt>
                <c:pt idx="17">
                  <c:v>-6.5748000051826239E-3</c:v>
                </c:pt>
                <c:pt idx="18">
                  <c:v>-7.2437999988324009E-3</c:v>
                </c:pt>
                <c:pt idx="19">
                  <c:v>-6.7437999969115481E-3</c:v>
                </c:pt>
                <c:pt idx="20">
                  <c:v>-6.6437999994377606E-3</c:v>
                </c:pt>
                <c:pt idx="21">
                  <c:v>-0.16713909999816678</c:v>
                </c:pt>
                <c:pt idx="22">
                  <c:v>-1.1075200003688224E-2</c:v>
                </c:pt>
                <c:pt idx="23">
                  <c:v>-0.17473090000567026</c:v>
                </c:pt>
                <c:pt idx="24">
                  <c:v>-0.17163030000665458</c:v>
                </c:pt>
                <c:pt idx="25">
                  <c:v>-1.6090600001916755E-2</c:v>
                </c:pt>
                <c:pt idx="26">
                  <c:v>-0.17655690000538016</c:v>
                </c:pt>
                <c:pt idx="27">
                  <c:v>-1.6833600006066263E-2</c:v>
                </c:pt>
                <c:pt idx="28">
                  <c:v>-0.18107050000253366</c:v>
                </c:pt>
                <c:pt idx="29">
                  <c:v>-2.2874800000863615E-2</c:v>
                </c:pt>
                <c:pt idx="30">
                  <c:v>-0.18227610000030836</c:v>
                </c:pt>
                <c:pt idx="33">
                  <c:v>-0.18469989999721292</c:v>
                </c:pt>
                <c:pt idx="34">
                  <c:v>-0.1807671000060509</c:v>
                </c:pt>
                <c:pt idx="35">
                  <c:v>-3.1226400002196897E-2</c:v>
                </c:pt>
                <c:pt idx="36">
                  <c:v>-3.2807600000523962E-2</c:v>
                </c:pt>
                <c:pt idx="37">
                  <c:v>-0.18296630000259029</c:v>
                </c:pt>
                <c:pt idx="38">
                  <c:v>-0.18450130000564968</c:v>
                </c:pt>
                <c:pt idx="39">
                  <c:v>-3.9649600003031082E-2</c:v>
                </c:pt>
                <c:pt idx="40">
                  <c:v>-4.5733600003586616E-2</c:v>
                </c:pt>
                <c:pt idx="41">
                  <c:v>-6.0429799996200018E-2</c:v>
                </c:pt>
                <c:pt idx="42">
                  <c:v>-6.7940799795906059E-2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E-431A-AF1A-747180F235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E-431A-AF1A-747180F235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E-431A-AF1A-747180F235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  <c:pt idx="4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E-431A-AF1A-747180F235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4.4143427586003162E-2</c:v>
                </c:pt>
                <c:pt idx="1">
                  <c:v>4.4143427586003162E-2</c:v>
                </c:pt>
                <c:pt idx="2">
                  <c:v>4.4131354153951578E-2</c:v>
                </c:pt>
                <c:pt idx="3">
                  <c:v>4.4131354153951578E-2</c:v>
                </c:pt>
                <c:pt idx="4">
                  <c:v>4.3503535687269328E-2</c:v>
                </c:pt>
                <c:pt idx="5">
                  <c:v>4.3503535687269328E-2</c:v>
                </c:pt>
                <c:pt idx="6">
                  <c:v>4.3406948230856675E-2</c:v>
                </c:pt>
                <c:pt idx="7">
                  <c:v>4.309303899751555E-2</c:v>
                </c:pt>
                <c:pt idx="8">
                  <c:v>4.309303899751555E-2</c:v>
                </c:pt>
                <c:pt idx="9">
                  <c:v>4.2984378109051313E-2</c:v>
                </c:pt>
                <c:pt idx="10">
                  <c:v>4.2791203196226001E-2</c:v>
                </c:pt>
                <c:pt idx="11">
                  <c:v>4.2573881419297528E-2</c:v>
                </c:pt>
                <c:pt idx="12">
                  <c:v>3.2178656422885629E-2</c:v>
                </c:pt>
                <c:pt idx="13">
                  <c:v>2.8291011302276296E-2</c:v>
                </c:pt>
                <c:pt idx="14">
                  <c:v>1.9199716967435221E-2</c:v>
                </c:pt>
                <c:pt idx="15">
                  <c:v>1.8342503291772914E-2</c:v>
                </c:pt>
                <c:pt idx="16">
                  <c:v>1.3018119757025354E-2</c:v>
                </c:pt>
                <c:pt idx="17">
                  <c:v>1.2788724548045301E-2</c:v>
                </c:pt>
                <c:pt idx="18">
                  <c:v>1.1943584304434575E-2</c:v>
                </c:pt>
                <c:pt idx="19">
                  <c:v>1.1943584304434575E-2</c:v>
                </c:pt>
                <c:pt idx="20">
                  <c:v>1.1943584304434575E-2</c:v>
                </c:pt>
                <c:pt idx="21">
                  <c:v>3.9871925824421922E-3</c:v>
                </c:pt>
                <c:pt idx="22">
                  <c:v>1.7777545170027248E-3</c:v>
                </c:pt>
                <c:pt idx="23">
                  <c:v>-2.7014887741341129E-3</c:v>
                </c:pt>
                <c:pt idx="24">
                  <c:v>-7.3135398178383465E-3</c:v>
                </c:pt>
                <c:pt idx="25">
                  <c:v>-8.6295439114607644E-3</c:v>
                </c:pt>
                <c:pt idx="26">
                  <c:v>-1.2118765774367893E-2</c:v>
                </c:pt>
                <c:pt idx="27">
                  <c:v>-1.2130839206419476E-2</c:v>
                </c:pt>
                <c:pt idx="28">
                  <c:v>-1.2215353230780546E-2</c:v>
                </c:pt>
                <c:pt idx="29">
                  <c:v>-1.7394855580909127E-2</c:v>
                </c:pt>
                <c:pt idx="30">
                  <c:v>-2.1487749046395353E-2</c:v>
                </c:pt>
                <c:pt idx="31">
                  <c:v>-2.2236301833593423E-2</c:v>
                </c:pt>
                <c:pt idx="32">
                  <c:v>-2.6643104532420768E-2</c:v>
                </c:pt>
                <c:pt idx="33">
                  <c:v>-2.7693493120908373E-2</c:v>
                </c:pt>
                <c:pt idx="34">
                  <c:v>-3.0301354444050042E-2</c:v>
                </c:pt>
                <c:pt idx="35">
                  <c:v>-3.1255155576125009E-2</c:v>
                </c:pt>
                <c:pt idx="36">
                  <c:v>-3.168979912998194E-2</c:v>
                </c:pt>
                <c:pt idx="37">
                  <c:v>-3.2426278485128433E-2</c:v>
                </c:pt>
                <c:pt idx="38">
                  <c:v>-3.3029950087707517E-2</c:v>
                </c:pt>
                <c:pt idx="39">
                  <c:v>-4.2072950694342269E-2</c:v>
                </c:pt>
                <c:pt idx="40">
                  <c:v>-4.7143792156006607E-2</c:v>
                </c:pt>
                <c:pt idx="41">
                  <c:v>-6.1462882569182593E-2</c:v>
                </c:pt>
                <c:pt idx="42">
                  <c:v>-6.5447115146204576E-2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E-431A-AF1A-747180F235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-0.18816562337398537</c:v>
                </c:pt>
                <c:pt idx="1">
                  <c:v>-0.18816562337398537</c:v>
                </c:pt>
                <c:pt idx="2">
                  <c:v>-0.18816483050404798</c:v>
                </c:pt>
                <c:pt idx="3">
                  <c:v>-0.18816483050404798</c:v>
                </c:pt>
                <c:pt idx="4">
                  <c:v>-0.1881236012673039</c:v>
                </c:pt>
                <c:pt idx="5">
                  <c:v>-0.1881236012673039</c:v>
                </c:pt>
                <c:pt idx="6">
                  <c:v>-0.18811725830780482</c:v>
                </c:pt>
                <c:pt idx="7">
                  <c:v>-0.18809664368943277</c:v>
                </c:pt>
                <c:pt idx="8">
                  <c:v>-0.18809664368943277</c:v>
                </c:pt>
                <c:pt idx="9">
                  <c:v>-0.18808950785999631</c:v>
                </c:pt>
                <c:pt idx="10">
                  <c:v>-0.18807682194099812</c:v>
                </c:pt>
                <c:pt idx="11">
                  <c:v>-0.18806255028212518</c:v>
                </c:pt>
                <c:pt idx="12">
                  <c:v>-0.18737988926603583</c:v>
                </c:pt>
                <c:pt idx="13">
                  <c:v>-0.18712458514619754</c:v>
                </c:pt>
                <c:pt idx="14">
                  <c:v>-0.18652755408334587</c:v>
                </c:pt>
                <c:pt idx="15">
                  <c:v>-0.18647126031779146</c:v>
                </c:pt>
                <c:pt idx="16">
                  <c:v>-0.18612160467540423</c:v>
                </c:pt>
                <c:pt idx="17">
                  <c:v>-0.18610654014659389</c:v>
                </c:pt>
                <c:pt idx="18">
                  <c:v>-0.18605103925097688</c:v>
                </c:pt>
                <c:pt idx="19">
                  <c:v>-0.18605103925097688</c:v>
                </c:pt>
                <c:pt idx="20">
                  <c:v>-0.18605103925097688</c:v>
                </c:pt>
                <c:pt idx="21">
                  <c:v>-0.18552853796223948</c:v>
                </c:pt>
                <c:pt idx="22">
                  <c:v>-0.18538344276369784</c:v>
                </c:pt>
                <c:pt idx="23">
                  <c:v>-0.18508928801692764</c:v>
                </c:pt>
                <c:pt idx="24">
                  <c:v>-0.18478641170084617</c:v>
                </c:pt>
                <c:pt idx="25">
                  <c:v>-0.18469998887767111</c:v>
                </c:pt>
                <c:pt idx="26">
                  <c:v>-0.18447084946576656</c:v>
                </c:pt>
                <c:pt idx="27">
                  <c:v>-0.18447005659582916</c:v>
                </c:pt>
                <c:pt idx="28">
                  <c:v>-0.18446450650626747</c:v>
                </c:pt>
                <c:pt idx="29">
                  <c:v>-0.18412436530312887</c:v>
                </c:pt>
                <c:pt idx="30">
                  <c:v>-0.18385558239435501</c:v>
                </c:pt>
                <c:pt idx="31">
                  <c:v>-0.18380642445823708</c:v>
                </c:pt>
                <c:pt idx="32">
                  <c:v>-0.18351702693109118</c:v>
                </c:pt>
                <c:pt idx="33">
                  <c:v>-0.1834480472465386</c:v>
                </c:pt>
                <c:pt idx="34">
                  <c:v>-0.18327678734006322</c:v>
                </c:pt>
                <c:pt idx="35">
                  <c:v>-0.18321415061500973</c:v>
                </c:pt>
                <c:pt idx="36">
                  <c:v>-0.18318560729726382</c:v>
                </c:pt>
                <c:pt idx="37">
                  <c:v>-0.18313724223108327</c:v>
                </c:pt>
                <c:pt idx="38">
                  <c:v>-0.18309759873421397</c:v>
                </c:pt>
                <c:pt idx="39">
                  <c:v>-0.18250373915111184</c:v>
                </c:pt>
                <c:pt idx="40">
                  <c:v>-0.18217073377740972</c:v>
                </c:pt>
                <c:pt idx="41">
                  <c:v>-0.18123039003166994</c:v>
                </c:pt>
                <c:pt idx="42">
                  <c:v>-0.18096874295233253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E-431A-AF1A-747180F2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85800"/>
        <c:axId val="1"/>
      </c:scatterChart>
      <c:valAx>
        <c:axId val="67678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8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6407115777194"/>
          <c:y val="0.92024539877300615"/>
          <c:w val="0.859376458151064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V0821 Cas - Primary O-C Diagr.</a:t>
            </a:r>
          </a:p>
        </c:rich>
      </c:tx>
      <c:layout>
        <c:manualLayout>
          <c:xMode val="edge"/>
          <c:yMode val="edge"/>
          <c:x val="0.26830959271774801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5087103647073"/>
          <c:y val="0.15384615384615385"/>
          <c:w val="0.75975435518235368"/>
          <c:h val="0.59531772575250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Active!$R$21:$R$984</c:f>
              <c:numCache>
                <c:formatCode>General</c:formatCode>
                <c:ptCount val="964"/>
                <c:pt idx="2">
                  <c:v>5.8839999110205099E-4</c:v>
                </c:pt>
                <c:pt idx="3">
                  <c:v>5.8839999110205099E-4</c:v>
                </c:pt>
                <c:pt idx="4">
                  <c:v>-5.9999999939464033E-4</c:v>
                </c:pt>
                <c:pt idx="5">
                  <c:v>0</c:v>
                </c:pt>
                <c:pt idx="6">
                  <c:v>-3.136000013910234E-4</c:v>
                </c:pt>
                <c:pt idx="7">
                  <c:v>-2.0780000340892002E-4</c:v>
                </c:pt>
                <c:pt idx="8">
                  <c:v>2.9219999851193279E-4</c:v>
                </c:pt>
                <c:pt idx="12">
                  <c:v>-2.9446000044117682E-3</c:v>
                </c:pt>
                <c:pt idx="15">
                  <c:v>-5.2427999980864115E-3</c:v>
                </c:pt>
                <c:pt idx="17">
                  <c:v>-6.5748000051826239E-3</c:v>
                </c:pt>
                <c:pt idx="18">
                  <c:v>-7.2437999988324009E-3</c:v>
                </c:pt>
                <c:pt idx="19">
                  <c:v>-6.7437999969115481E-3</c:v>
                </c:pt>
                <c:pt idx="20">
                  <c:v>-6.6437999994377606E-3</c:v>
                </c:pt>
                <c:pt idx="22">
                  <c:v>-1.1075200003688224E-2</c:v>
                </c:pt>
                <c:pt idx="25">
                  <c:v>-1.6090600001916755E-2</c:v>
                </c:pt>
                <c:pt idx="27">
                  <c:v>-1.6833600006066263E-2</c:v>
                </c:pt>
                <c:pt idx="29">
                  <c:v>-2.2874800000863615E-2</c:v>
                </c:pt>
                <c:pt idx="32">
                  <c:v>-2.7927000002819113E-2</c:v>
                </c:pt>
                <c:pt idx="35">
                  <c:v>-3.1226400002196897E-2</c:v>
                </c:pt>
                <c:pt idx="36">
                  <c:v>-3.2807600000523962E-2</c:v>
                </c:pt>
                <c:pt idx="39">
                  <c:v>-3.9649600003031082E-2</c:v>
                </c:pt>
                <c:pt idx="40">
                  <c:v>-4.5733600003586616E-2</c:v>
                </c:pt>
                <c:pt idx="41">
                  <c:v>-6.0429799996200018E-2</c:v>
                </c:pt>
                <c:pt idx="42">
                  <c:v>-6.7940799795906059E-2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2-49FB-A456-43796AE68512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4.4143427586003162E-2</c:v>
                </c:pt>
                <c:pt idx="1">
                  <c:v>4.4143427586003162E-2</c:v>
                </c:pt>
                <c:pt idx="2">
                  <c:v>4.4131354153951578E-2</c:v>
                </c:pt>
                <c:pt idx="3">
                  <c:v>4.4131354153951578E-2</c:v>
                </c:pt>
                <c:pt idx="4">
                  <c:v>4.3503535687269328E-2</c:v>
                </c:pt>
                <c:pt idx="5">
                  <c:v>4.3503535687269328E-2</c:v>
                </c:pt>
                <c:pt idx="6">
                  <c:v>4.3406948230856675E-2</c:v>
                </c:pt>
                <c:pt idx="7">
                  <c:v>4.309303899751555E-2</c:v>
                </c:pt>
                <c:pt idx="8">
                  <c:v>4.309303899751555E-2</c:v>
                </c:pt>
                <c:pt idx="9">
                  <c:v>4.2984378109051313E-2</c:v>
                </c:pt>
                <c:pt idx="10">
                  <c:v>4.2791203196226001E-2</c:v>
                </c:pt>
                <c:pt idx="11">
                  <c:v>4.2573881419297528E-2</c:v>
                </c:pt>
                <c:pt idx="12">
                  <c:v>3.2178656422885629E-2</c:v>
                </c:pt>
                <c:pt idx="13">
                  <c:v>2.8291011302276296E-2</c:v>
                </c:pt>
                <c:pt idx="14">
                  <c:v>1.9199716967435221E-2</c:v>
                </c:pt>
                <c:pt idx="15">
                  <c:v>1.8342503291772914E-2</c:v>
                </c:pt>
                <c:pt idx="16">
                  <c:v>1.3018119757025354E-2</c:v>
                </c:pt>
                <c:pt idx="17">
                  <c:v>1.2788724548045301E-2</c:v>
                </c:pt>
                <c:pt idx="18">
                  <c:v>1.1943584304434575E-2</c:v>
                </c:pt>
                <c:pt idx="19">
                  <c:v>1.1943584304434575E-2</c:v>
                </c:pt>
                <c:pt idx="20">
                  <c:v>1.1943584304434575E-2</c:v>
                </c:pt>
                <c:pt idx="21">
                  <c:v>3.9871925824421922E-3</c:v>
                </c:pt>
                <c:pt idx="22">
                  <c:v>1.7777545170027248E-3</c:v>
                </c:pt>
                <c:pt idx="23">
                  <c:v>-2.7014887741341129E-3</c:v>
                </c:pt>
                <c:pt idx="24">
                  <c:v>-7.3135398178383465E-3</c:v>
                </c:pt>
                <c:pt idx="25">
                  <c:v>-8.6295439114607644E-3</c:v>
                </c:pt>
                <c:pt idx="26">
                  <c:v>-1.2118765774367893E-2</c:v>
                </c:pt>
                <c:pt idx="27">
                  <c:v>-1.2130839206419476E-2</c:v>
                </c:pt>
                <c:pt idx="28">
                  <c:v>-1.2215353230780546E-2</c:v>
                </c:pt>
                <c:pt idx="29">
                  <c:v>-1.7394855580909127E-2</c:v>
                </c:pt>
                <c:pt idx="30">
                  <c:v>-2.1487749046395353E-2</c:v>
                </c:pt>
                <c:pt idx="31">
                  <c:v>-2.2236301833593423E-2</c:v>
                </c:pt>
                <c:pt idx="32">
                  <c:v>-2.6643104532420768E-2</c:v>
                </c:pt>
                <c:pt idx="33">
                  <c:v>-2.7693493120908373E-2</c:v>
                </c:pt>
                <c:pt idx="34">
                  <c:v>-3.0301354444050042E-2</c:v>
                </c:pt>
                <c:pt idx="35">
                  <c:v>-3.1255155576125009E-2</c:v>
                </c:pt>
                <c:pt idx="36">
                  <c:v>-3.168979912998194E-2</c:v>
                </c:pt>
                <c:pt idx="37">
                  <c:v>-3.2426278485128433E-2</c:v>
                </c:pt>
                <c:pt idx="38">
                  <c:v>-3.3029950087707517E-2</c:v>
                </c:pt>
                <c:pt idx="39">
                  <c:v>-4.2072950694342269E-2</c:v>
                </c:pt>
                <c:pt idx="40">
                  <c:v>-4.7143792156006607E-2</c:v>
                </c:pt>
                <c:pt idx="41">
                  <c:v>-6.1462882569182593E-2</c:v>
                </c:pt>
                <c:pt idx="42">
                  <c:v>-6.5447115146204576E-2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2-49FB-A456-43796AE6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79568"/>
        <c:axId val="1"/>
      </c:scatterChart>
      <c:valAx>
        <c:axId val="67677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8051329312786"/>
              <c:y val="0.8193979933110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40657084188913E-2"/>
              <c:y val="0.3478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7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26488706365501"/>
          <c:y val="0.91304347826086951"/>
          <c:w val="0.26078028747433263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V0821 Cas - Secondary O-C Diagr.</a:t>
            </a:r>
          </a:p>
        </c:rich>
      </c:tx>
      <c:layout>
        <c:manualLayout>
          <c:xMode val="edge"/>
          <c:yMode val="edge"/>
          <c:x val="0.2538463557439935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6935356196812"/>
          <c:y val="0.1548826641501741"/>
          <c:w val="0.78461612137180869"/>
          <c:h val="0.59259454109631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Active!$S$21:$S$984</c:f>
              <c:numCache>
                <c:formatCode>General</c:formatCode>
                <c:ptCount val="964"/>
                <c:pt idx="0">
                  <c:v>-0.1270349000042188</c:v>
                </c:pt>
                <c:pt idx="1">
                  <c:v>-0.1270349000042188</c:v>
                </c:pt>
                <c:pt idx="9">
                  <c:v>-0.13029810000443831</c:v>
                </c:pt>
                <c:pt idx="10">
                  <c:v>-0.13432530000864062</c:v>
                </c:pt>
                <c:pt idx="11">
                  <c:v>-0.13080590000026859</c:v>
                </c:pt>
                <c:pt idx="14">
                  <c:v>-0.15640710000297986</c:v>
                </c:pt>
                <c:pt idx="16">
                  <c:v>-0.15906750000431202</c:v>
                </c:pt>
                <c:pt idx="21">
                  <c:v>-0.16713909999816678</c:v>
                </c:pt>
                <c:pt idx="23">
                  <c:v>-0.17473090000567026</c:v>
                </c:pt>
                <c:pt idx="24">
                  <c:v>-0.17163030000665458</c:v>
                </c:pt>
                <c:pt idx="26">
                  <c:v>-0.17655690000538016</c:v>
                </c:pt>
                <c:pt idx="28">
                  <c:v>-0.18107050000253366</c:v>
                </c:pt>
                <c:pt idx="30">
                  <c:v>-0.18227610000030836</c:v>
                </c:pt>
                <c:pt idx="31">
                  <c:v>-0.18383149999863235</c:v>
                </c:pt>
                <c:pt idx="33">
                  <c:v>-0.18469989999721292</c:v>
                </c:pt>
                <c:pt idx="34">
                  <c:v>-0.1807671000060509</c:v>
                </c:pt>
                <c:pt idx="37">
                  <c:v>-0.18296630000259029</c:v>
                </c:pt>
                <c:pt idx="38">
                  <c:v>-0.18450130000564968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B-421F-BF68-A910D6B7664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  <c:pt idx="42">
                  <c:v>4512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-0.18816562337398537</c:v>
                </c:pt>
                <c:pt idx="1">
                  <c:v>-0.18816562337398537</c:v>
                </c:pt>
                <c:pt idx="2">
                  <c:v>-0.18816483050404798</c:v>
                </c:pt>
                <c:pt idx="3">
                  <c:v>-0.18816483050404798</c:v>
                </c:pt>
                <c:pt idx="4">
                  <c:v>-0.1881236012673039</c:v>
                </c:pt>
                <c:pt idx="5">
                  <c:v>-0.1881236012673039</c:v>
                </c:pt>
                <c:pt idx="6">
                  <c:v>-0.18811725830780482</c:v>
                </c:pt>
                <c:pt idx="7">
                  <c:v>-0.18809664368943277</c:v>
                </c:pt>
                <c:pt idx="8">
                  <c:v>-0.18809664368943277</c:v>
                </c:pt>
                <c:pt idx="9">
                  <c:v>-0.18808950785999631</c:v>
                </c:pt>
                <c:pt idx="10">
                  <c:v>-0.18807682194099812</c:v>
                </c:pt>
                <c:pt idx="11">
                  <c:v>-0.18806255028212518</c:v>
                </c:pt>
                <c:pt idx="12">
                  <c:v>-0.18737988926603583</c:v>
                </c:pt>
                <c:pt idx="13">
                  <c:v>-0.18712458514619754</c:v>
                </c:pt>
                <c:pt idx="14">
                  <c:v>-0.18652755408334587</c:v>
                </c:pt>
                <c:pt idx="15">
                  <c:v>-0.18647126031779146</c:v>
                </c:pt>
                <c:pt idx="16">
                  <c:v>-0.18612160467540423</c:v>
                </c:pt>
                <c:pt idx="17">
                  <c:v>-0.18610654014659389</c:v>
                </c:pt>
                <c:pt idx="18">
                  <c:v>-0.18605103925097688</c:v>
                </c:pt>
                <c:pt idx="19">
                  <c:v>-0.18605103925097688</c:v>
                </c:pt>
                <c:pt idx="20">
                  <c:v>-0.18605103925097688</c:v>
                </c:pt>
                <c:pt idx="21">
                  <c:v>-0.18552853796223948</c:v>
                </c:pt>
                <c:pt idx="22">
                  <c:v>-0.18538344276369784</c:v>
                </c:pt>
                <c:pt idx="23">
                  <c:v>-0.18508928801692764</c:v>
                </c:pt>
                <c:pt idx="24">
                  <c:v>-0.18478641170084617</c:v>
                </c:pt>
                <c:pt idx="25">
                  <c:v>-0.18469998887767111</c:v>
                </c:pt>
                <c:pt idx="26">
                  <c:v>-0.18447084946576656</c:v>
                </c:pt>
                <c:pt idx="27">
                  <c:v>-0.18447005659582916</c:v>
                </c:pt>
                <c:pt idx="28">
                  <c:v>-0.18446450650626747</c:v>
                </c:pt>
                <c:pt idx="29">
                  <c:v>-0.18412436530312887</c:v>
                </c:pt>
                <c:pt idx="30">
                  <c:v>-0.18385558239435501</c:v>
                </c:pt>
                <c:pt idx="31">
                  <c:v>-0.18380642445823708</c:v>
                </c:pt>
                <c:pt idx="32">
                  <c:v>-0.18351702693109118</c:v>
                </c:pt>
                <c:pt idx="33">
                  <c:v>-0.1834480472465386</c:v>
                </c:pt>
                <c:pt idx="34">
                  <c:v>-0.18327678734006322</c:v>
                </c:pt>
                <c:pt idx="35">
                  <c:v>-0.18321415061500973</c:v>
                </c:pt>
                <c:pt idx="36">
                  <c:v>-0.18318560729726382</c:v>
                </c:pt>
                <c:pt idx="37">
                  <c:v>-0.18313724223108327</c:v>
                </c:pt>
                <c:pt idx="38">
                  <c:v>-0.18309759873421397</c:v>
                </c:pt>
                <c:pt idx="39">
                  <c:v>-0.18250373915111184</c:v>
                </c:pt>
                <c:pt idx="40">
                  <c:v>-0.18217073377740972</c:v>
                </c:pt>
                <c:pt idx="41">
                  <c:v>-0.18123039003166994</c:v>
                </c:pt>
                <c:pt idx="42">
                  <c:v>-0.18096874295233253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B-421F-BF68-A910D6B7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77272"/>
        <c:axId val="1"/>
      </c:scatterChart>
      <c:valAx>
        <c:axId val="67677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15424994952551"/>
              <c:y val="0.81818464611115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76923076923078E-2"/>
              <c:y val="0.34680240727484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7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69271148798705"/>
          <c:y val="0.91246074038724956"/>
          <c:w val="0.24615404805168584"/>
          <c:h val="6.73404208312344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19050</xdr:rowOff>
    </xdr:from>
    <xdr:to>
      <xdr:col>14</xdr:col>
      <xdr:colOff>333375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B7C0682-32EB-E0CE-8FD8-06FEC4F4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266700</xdr:colOff>
      <xdr:row>0</xdr:row>
      <xdr:rowOff>57150</xdr:rowOff>
    </xdr:from>
    <xdr:to>
      <xdr:col>21</xdr:col>
      <xdr:colOff>457200</xdr:colOff>
      <xdr:row>17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4FD3702-C07D-8E6F-9CAC-B0AC74906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0</xdr:row>
      <xdr:rowOff>38100</xdr:rowOff>
    </xdr:from>
    <xdr:to>
      <xdr:col>28</xdr:col>
      <xdr:colOff>323850</xdr:colOff>
      <xdr:row>16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FBB593B-1970-AA90-2D10-C5360DE7A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konkoly.hu/cgi-bin/IBVS?538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konkoly.hu/cgi-bin/IBVS?5386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386" TargetMode="External"/><Relationship Id="rId16" Type="http://schemas.openxmlformats.org/officeDocument/2006/relationships/hyperlink" Target="http://www.konkoly.hu/cgi-bin/IBVS?5870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5386" TargetMode="External"/><Relationship Id="rId6" Type="http://schemas.openxmlformats.org/officeDocument/2006/relationships/hyperlink" Target="http://www.konkoly.hu/cgi-bin/IBVS?5386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386" TargetMode="External"/><Relationship Id="rId15" Type="http://schemas.openxmlformats.org/officeDocument/2006/relationships/hyperlink" Target="http://www.konkoly.hu/cgi-bin/IBVS?5933" TargetMode="External"/><Relationship Id="rId23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38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8"/>
  <sheetViews>
    <sheetView tabSelected="1" workbookViewId="0">
      <pane xSplit="15" ySplit="21" topLeftCell="P52" activePane="bottomRight" state="frozen"/>
      <selection pane="topRight" activeCell="P1" sqref="P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180</v>
      </c>
    </row>
    <row r="2" spans="1:6" x14ac:dyDescent="0.2">
      <c r="A2" t="s">
        <v>21</v>
      </c>
      <c r="B2" t="s">
        <v>37</v>
      </c>
      <c r="C2" s="11" t="s">
        <v>45</v>
      </c>
    </row>
    <row r="3" spans="1:6" ht="13.5" thickBot="1" x14ac:dyDescent="0.25"/>
    <row r="4" spans="1:6" ht="14.25" thickTop="1" thickBot="1" x14ac:dyDescent="0.25">
      <c r="A4" s="6" t="s">
        <v>4</v>
      </c>
      <c r="C4" s="9" t="s">
        <v>16</v>
      </c>
      <c r="D4" s="10" t="s">
        <v>16</v>
      </c>
    </row>
    <row r="5" spans="1:6" ht="13.5" thickTop="1" x14ac:dyDescent="0.2">
      <c r="A5" s="32" t="s">
        <v>58</v>
      </c>
      <c r="B5" s="33"/>
      <c r="C5" s="34">
        <v>-9.5</v>
      </c>
      <c r="D5" s="33" t="s">
        <v>59</v>
      </c>
    </row>
    <row r="6" spans="1:6" x14ac:dyDescent="0.2">
      <c r="A6" s="6" t="s">
        <v>5</v>
      </c>
    </row>
    <row r="7" spans="1:6" x14ac:dyDescent="0.2">
      <c r="A7" t="s">
        <v>6</v>
      </c>
      <c r="C7">
        <v>51767.410600000003</v>
      </c>
    </row>
    <row r="8" spans="1:6" x14ac:dyDescent="0.2">
      <c r="A8" t="s">
        <v>7</v>
      </c>
      <c r="C8">
        <v>1.7697533999999999</v>
      </c>
    </row>
    <row r="9" spans="1:6" x14ac:dyDescent="0.2">
      <c r="A9" s="26" t="s">
        <v>60</v>
      </c>
      <c r="B9" s="26"/>
      <c r="C9" s="62">
        <v>52</v>
      </c>
      <c r="D9" s="62">
        <v>52</v>
      </c>
    </row>
    <row r="10" spans="1:6" ht="13.5" thickBot="1" x14ac:dyDescent="0.25">
      <c r="C10" s="5" t="s">
        <v>33</v>
      </c>
      <c r="D10" s="5" t="s">
        <v>34</v>
      </c>
    </row>
    <row r="11" spans="1:6" x14ac:dyDescent="0.2">
      <c r="A11" t="s">
        <v>18</v>
      </c>
      <c r="C11" s="35">
        <f ca="1">INTERCEPT(INDIRECT(C14):R$932,INDIRECT(C13):$F$932)</f>
        <v>4.3503535687269328E-2</v>
      </c>
      <c r="D11" s="35">
        <f ca="1">INTERCEPT(INDIRECT(D14):S$932,INDIRECT(D13):$F$932)</f>
        <v>-0.1881236012673039</v>
      </c>
      <c r="E11" s="26" t="s">
        <v>52</v>
      </c>
      <c r="F11">
        <v>1</v>
      </c>
    </row>
    <row r="12" spans="1:6" x14ac:dyDescent="0.2">
      <c r="A12" t="s">
        <v>19</v>
      </c>
      <c r="C12" s="35">
        <f ca="1">SLOPE(INDIRECT(C14):R$932,INDIRECT(C13):$F$932)</f>
        <v>-2.4146864103163543E-5</v>
      </c>
      <c r="D12" s="35">
        <f ca="1">SLOPE(INDIRECT(D14):S$932,INDIRECT(D13):$F$932)</f>
        <v>1.5857398747720218E-6</v>
      </c>
      <c r="E12" s="26" t="s">
        <v>53</v>
      </c>
      <c r="F12" s="28">
        <f ca="1">NOW()+15018.5+$C$5/24</f>
        <v>60170.596918634255</v>
      </c>
    </row>
    <row r="13" spans="1:6" x14ac:dyDescent="0.2">
      <c r="A13" s="26" t="s">
        <v>50</v>
      </c>
      <c r="B13" s="26"/>
      <c r="C13" s="27" t="str">
        <f>"F"&amp;C9</f>
        <v>F52</v>
      </c>
      <c r="D13" s="27" t="str">
        <f>"F"&amp;D9</f>
        <v>F52</v>
      </c>
      <c r="E13" s="26" t="s">
        <v>54</v>
      </c>
      <c r="F13" s="28">
        <f ca="1">ROUND(2*(F12-$C$7)/$C$8,0)/2+F11</f>
        <v>4749</v>
      </c>
    </row>
    <row r="14" spans="1:6" x14ac:dyDescent="0.2">
      <c r="A14" s="26" t="s">
        <v>51</v>
      </c>
      <c r="B14" s="26"/>
      <c r="C14" s="27" t="str">
        <f>"R"&amp;C9</f>
        <v>R52</v>
      </c>
      <c r="D14" s="27" t="str">
        <f>"S"&amp;D9</f>
        <v>S52</v>
      </c>
      <c r="E14" s="26" t="s">
        <v>55</v>
      </c>
      <c r="F14" s="29">
        <f ca="1">ROUND(2*(F12-$C$15)/$C$16,0)/2+F11</f>
        <v>237.5</v>
      </c>
    </row>
    <row r="15" spans="1:6" x14ac:dyDescent="0.2">
      <c r="A15" s="3" t="s">
        <v>20</v>
      </c>
      <c r="C15" s="36">
        <f ca="1">($C7+C11)+($C8+C12)*INT(MAX($F21:$F3530))</f>
        <v>59752.472493684858</v>
      </c>
      <c r="D15" s="36">
        <f ca="1">($C7+D11)+($C8+D12)*INT(MAX($F21:$F3530))</f>
        <v>59752.356972057045</v>
      </c>
      <c r="E15" s="26" t="s">
        <v>56</v>
      </c>
      <c r="F15" s="30">
        <f ca="1">+$C$15+$C$16*F14-15018.5-$C$5/24</f>
        <v>45154.679024637968</v>
      </c>
    </row>
    <row r="16" spans="1:6" x14ac:dyDescent="0.2">
      <c r="A16" s="6" t="s">
        <v>8</v>
      </c>
      <c r="C16" s="37">
        <f ca="1">+$C8+C12</f>
        <v>1.7697292531358968</v>
      </c>
      <c r="D16" s="35">
        <f ca="1">+$C8+D12</f>
        <v>1.7697549857398747</v>
      </c>
      <c r="E16" s="31"/>
      <c r="F16" s="31" t="s">
        <v>57</v>
      </c>
    </row>
    <row r="17" spans="1:19" ht="13.5" thickBot="1" x14ac:dyDescent="0.25">
      <c r="A17" s="18" t="s">
        <v>40</v>
      </c>
      <c r="C17">
        <f>COUNT(C21:C2183)</f>
        <v>43</v>
      </c>
    </row>
    <row r="18" spans="1:19" ht="14.25" thickTop="1" thickBot="1" x14ac:dyDescent="0.25">
      <c r="A18" s="6" t="s">
        <v>39</v>
      </c>
      <c r="C18" s="16">
        <f ca="1">+C15</f>
        <v>59752.472493684858</v>
      </c>
      <c r="D18" s="12">
        <f ca="1">+C16</f>
        <v>1.7697292531358968</v>
      </c>
      <c r="E18" s="25">
        <f>COUNT(R21:R51)</f>
        <v>17</v>
      </c>
      <c r="R18">
        <f>COUNT(R21:R74)</f>
        <v>24</v>
      </c>
      <c r="S18">
        <f>COUNT(S21:S74)</f>
        <v>18</v>
      </c>
    </row>
    <row r="19" spans="1:19" ht="13.5" thickBot="1" x14ac:dyDescent="0.25">
      <c r="A19" s="6" t="s">
        <v>38</v>
      </c>
      <c r="C19" s="17">
        <f ca="1">D15</f>
        <v>59752.356972057045</v>
      </c>
      <c r="D19" s="13">
        <f ca="1">D16</f>
        <v>1.7697549857398747</v>
      </c>
      <c r="E19" s="25">
        <f>COUNT(S21:S103)</f>
        <v>18</v>
      </c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71</v>
      </c>
      <c r="I20" s="8" t="s">
        <v>74</v>
      </c>
      <c r="J20" s="8" t="s">
        <v>68</v>
      </c>
      <c r="K20" s="8" t="s">
        <v>66</v>
      </c>
      <c r="L20" s="8" t="s">
        <v>22</v>
      </c>
      <c r="M20" s="8" t="s">
        <v>23</v>
      </c>
      <c r="N20" s="8" t="s">
        <v>24</v>
      </c>
      <c r="O20" s="8" t="s">
        <v>35</v>
      </c>
      <c r="P20" s="7" t="s">
        <v>36</v>
      </c>
      <c r="Q20" s="5" t="s">
        <v>17</v>
      </c>
      <c r="R20" s="7" t="s">
        <v>31</v>
      </c>
      <c r="S20" s="7" t="s">
        <v>32</v>
      </c>
    </row>
    <row r="21" spans="1:19" x14ac:dyDescent="0.2">
      <c r="A21" t="s">
        <v>28</v>
      </c>
      <c r="B21" s="15" t="s">
        <v>26</v>
      </c>
      <c r="C21" s="20">
        <v>51720.3851</v>
      </c>
      <c r="D21" s="20">
        <v>8.9999999999999998E-4</v>
      </c>
      <c r="E21">
        <f t="shared" ref="E21:E59" si="0">+(C21-C$7)/C$8</f>
        <v>-26.571781130638527</v>
      </c>
      <c r="F21">
        <f t="shared" ref="F21:F61" si="1">ROUND(2*E21,0)/2</f>
        <v>-26.5</v>
      </c>
      <c r="G21">
        <f t="shared" ref="G21:G59" si="2">+C21-(C$7+F21*C$8)</f>
        <v>-0.1270349000042188</v>
      </c>
      <c r="J21">
        <f>+G21</f>
        <v>-0.1270349000042188</v>
      </c>
      <c r="O21">
        <f ca="1">+C$11+C$12*$F21</f>
        <v>4.4143427586003162E-2</v>
      </c>
      <c r="P21">
        <f ca="1">+D$11+D$12*$F21</f>
        <v>-0.18816562337398537</v>
      </c>
      <c r="Q21" s="2">
        <f t="shared" ref="Q21:Q59" si="3">+C21-15018.5</f>
        <v>36701.8851</v>
      </c>
      <c r="S21">
        <f>G21</f>
        <v>-0.1270349000042188</v>
      </c>
    </row>
    <row r="22" spans="1:19" x14ac:dyDescent="0.2">
      <c r="A22" s="14" t="s">
        <v>28</v>
      </c>
      <c r="B22" s="15" t="s">
        <v>26</v>
      </c>
      <c r="C22" s="20">
        <v>51720.3851</v>
      </c>
      <c r="D22" s="20">
        <v>8.9999999999999998E-4</v>
      </c>
      <c r="E22">
        <f t="shared" si="0"/>
        <v>-26.571781130638527</v>
      </c>
      <c r="F22">
        <f t="shared" si="1"/>
        <v>-26.5</v>
      </c>
      <c r="G22">
        <f t="shared" si="2"/>
        <v>-0.1270349000042188</v>
      </c>
      <c r="J22">
        <f>+G22</f>
        <v>-0.1270349000042188</v>
      </c>
      <c r="O22">
        <f t="shared" ref="O22:O59" ca="1" si="4">+C$11+C$12*F22</f>
        <v>4.4143427586003162E-2</v>
      </c>
      <c r="P22">
        <f t="shared" ref="P22:P59" ca="1" si="5">+D$11+D$12*$F22</f>
        <v>-0.18816562337398537</v>
      </c>
      <c r="Q22" s="2">
        <f t="shared" si="3"/>
        <v>36701.8851</v>
      </c>
      <c r="S22">
        <v>-0.1270349000042188</v>
      </c>
    </row>
    <row r="23" spans="1:19" x14ac:dyDescent="0.2">
      <c r="A23" t="s">
        <v>28</v>
      </c>
      <c r="B23" s="15" t="s">
        <v>27</v>
      </c>
      <c r="C23" s="20">
        <v>51721.397599999997</v>
      </c>
      <c r="D23" s="20">
        <v>2.9999999999999997E-4</v>
      </c>
      <c r="E23">
        <f t="shared" si="0"/>
        <v>-25.999667524303831</v>
      </c>
      <c r="F23">
        <f t="shared" si="1"/>
        <v>-26</v>
      </c>
      <c r="G23">
        <f t="shared" si="2"/>
        <v>5.8839999110205099E-4</v>
      </c>
      <c r="J23">
        <f>+G23</f>
        <v>5.8839999110205099E-4</v>
      </c>
      <c r="O23">
        <f t="shared" ca="1" si="4"/>
        <v>4.4131354153951578E-2</v>
      </c>
      <c r="P23">
        <f t="shared" ca="1" si="5"/>
        <v>-0.18816483050404798</v>
      </c>
      <c r="Q23" s="2">
        <f t="shared" si="3"/>
        <v>36702.897599999997</v>
      </c>
      <c r="R23">
        <f>G23</f>
        <v>5.8839999110205099E-4</v>
      </c>
    </row>
    <row r="24" spans="1:19" x14ac:dyDescent="0.2">
      <c r="A24" s="14" t="s">
        <v>28</v>
      </c>
      <c r="B24" s="15" t="s">
        <v>27</v>
      </c>
      <c r="C24" s="20">
        <v>51721.397599999997</v>
      </c>
      <c r="D24" s="20">
        <v>2.9999999999999997E-4</v>
      </c>
      <c r="E24">
        <f t="shared" si="0"/>
        <v>-25.999667524303831</v>
      </c>
      <c r="F24">
        <f t="shared" si="1"/>
        <v>-26</v>
      </c>
      <c r="G24">
        <f t="shared" si="2"/>
        <v>5.8839999110205099E-4</v>
      </c>
      <c r="J24">
        <f>+G24</f>
        <v>5.8839999110205099E-4</v>
      </c>
      <c r="O24">
        <f t="shared" ca="1" si="4"/>
        <v>4.4131354153951578E-2</v>
      </c>
      <c r="P24">
        <f t="shared" ca="1" si="5"/>
        <v>-0.18816483050404798</v>
      </c>
      <c r="Q24" s="2">
        <f t="shared" si="3"/>
        <v>36702.897599999997</v>
      </c>
      <c r="R24">
        <v>5.8839999110205099E-4</v>
      </c>
    </row>
    <row r="25" spans="1:19" x14ac:dyDescent="0.2">
      <c r="A25" t="s">
        <v>30</v>
      </c>
      <c r="B25" s="15" t="s">
        <v>27</v>
      </c>
      <c r="C25" s="20">
        <v>51767.41</v>
      </c>
      <c r="D25" s="20">
        <v>1E-4</v>
      </c>
      <c r="E25">
        <f t="shared" si="0"/>
        <v>-3.3903028489429114E-4</v>
      </c>
      <c r="F25">
        <f t="shared" si="1"/>
        <v>0</v>
      </c>
      <c r="G25">
        <f t="shared" si="2"/>
        <v>-5.9999999939464033E-4</v>
      </c>
      <c r="K25">
        <f t="shared" ref="K25:K32" si="6">+G25</f>
        <v>-5.9999999939464033E-4</v>
      </c>
      <c r="O25">
        <f t="shared" ca="1" si="4"/>
        <v>4.3503535687269328E-2</v>
      </c>
      <c r="P25">
        <f t="shared" ca="1" si="5"/>
        <v>-0.1881236012673039</v>
      </c>
      <c r="Q25" s="2">
        <f t="shared" si="3"/>
        <v>36748.910000000003</v>
      </c>
      <c r="R25">
        <f>G25</f>
        <v>-5.9999999939464033E-4</v>
      </c>
    </row>
    <row r="26" spans="1:19" x14ac:dyDescent="0.2">
      <c r="A26" t="s">
        <v>25</v>
      </c>
      <c r="B26" s="4"/>
      <c r="C26" s="21">
        <v>51767.410600000003</v>
      </c>
      <c r="D26" s="21" t="s">
        <v>16</v>
      </c>
      <c r="E26">
        <f t="shared" si="0"/>
        <v>0</v>
      </c>
      <c r="F26">
        <f t="shared" si="1"/>
        <v>0</v>
      </c>
      <c r="G26">
        <f t="shared" si="2"/>
        <v>0</v>
      </c>
      <c r="K26">
        <f t="shared" si="6"/>
        <v>0</v>
      </c>
      <c r="O26">
        <f t="shared" ca="1" si="4"/>
        <v>4.3503535687269328E-2</v>
      </c>
      <c r="P26">
        <f t="shared" ca="1" si="5"/>
        <v>-0.1881236012673039</v>
      </c>
      <c r="Q26" s="2">
        <f t="shared" si="3"/>
        <v>36748.910600000003</v>
      </c>
      <c r="R26">
        <f>G26</f>
        <v>0</v>
      </c>
    </row>
    <row r="27" spans="1:19" x14ac:dyDescent="0.2">
      <c r="A27" t="s">
        <v>30</v>
      </c>
      <c r="B27" s="15" t="s">
        <v>27</v>
      </c>
      <c r="C27" s="20">
        <v>51774.489300000001</v>
      </c>
      <c r="D27" s="20">
        <v>2.0000000000000001E-4</v>
      </c>
      <c r="E27">
        <f t="shared" si="0"/>
        <v>3.9998228001699037</v>
      </c>
      <c r="F27">
        <f t="shared" si="1"/>
        <v>4</v>
      </c>
      <c r="G27">
        <f t="shared" si="2"/>
        <v>-3.136000013910234E-4</v>
      </c>
      <c r="K27">
        <f t="shared" si="6"/>
        <v>-3.136000013910234E-4</v>
      </c>
      <c r="O27">
        <f t="shared" ca="1" si="4"/>
        <v>4.3406948230856675E-2</v>
      </c>
      <c r="P27">
        <f t="shared" ca="1" si="5"/>
        <v>-0.18811725830780482</v>
      </c>
      <c r="Q27" s="2">
        <f t="shared" si="3"/>
        <v>36755.989300000001</v>
      </c>
      <c r="R27">
        <f>G27</f>
        <v>-3.136000013910234E-4</v>
      </c>
    </row>
    <row r="28" spans="1:19" x14ac:dyDescent="0.2">
      <c r="A28" t="s">
        <v>30</v>
      </c>
      <c r="B28" s="15" t="s">
        <v>27</v>
      </c>
      <c r="C28" s="20">
        <v>51797.496200000001</v>
      </c>
      <c r="D28" s="20">
        <v>2.0000000000000001E-4</v>
      </c>
      <c r="E28">
        <f t="shared" si="0"/>
        <v>16.999882582510377</v>
      </c>
      <c r="F28">
        <f t="shared" si="1"/>
        <v>17</v>
      </c>
      <c r="G28">
        <f t="shared" si="2"/>
        <v>-2.0780000340892002E-4</v>
      </c>
      <c r="K28">
        <f t="shared" si="6"/>
        <v>-2.0780000340892002E-4</v>
      </c>
      <c r="O28">
        <f t="shared" ca="1" si="4"/>
        <v>4.309303899751555E-2</v>
      </c>
      <c r="P28">
        <f t="shared" ca="1" si="5"/>
        <v>-0.18809664368943277</v>
      </c>
      <c r="Q28" s="2">
        <f t="shared" si="3"/>
        <v>36778.996200000001</v>
      </c>
      <c r="R28">
        <f>G28</f>
        <v>-2.0780000340892002E-4</v>
      </c>
    </row>
    <row r="29" spans="1:19" x14ac:dyDescent="0.2">
      <c r="A29" t="s">
        <v>30</v>
      </c>
      <c r="B29" s="15" t="s">
        <v>27</v>
      </c>
      <c r="C29" s="20">
        <v>51797.496700000003</v>
      </c>
      <c r="D29" s="20">
        <v>4.0000000000000002E-4</v>
      </c>
      <c r="E29">
        <f t="shared" si="0"/>
        <v>17.000165107749162</v>
      </c>
      <c r="F29">
        <f t="shared" si="1"/>
        <v>17</v>
      </c>
      <c r="G29">
        <f t="shared" si="2"/>
        <v>2.9219999851193279E-4</v>
      </c>
      <c r="K29">
        <f t="shared" si="6"/>
        <v>2.9219999851193279E-4</v>
      </c>
      <c r="O29">
        <f t="shared" ca="1" si="4"/>
        <v>4.309303899751555E-2</v>
      </c>
      <c r="P29">
        <f t="shared" ca="1" si="5"/>
        <v>-0.18809664368943277</v>
      </c>
      <c r="Q29" s="2">
        <f t="shared" si="3"/>
        <v>36778.996700000003</v>
      </c>
      <c r="R29">
        <f>G29</f>
        <v>2.9219999851193279E-4</v>
      </c>
    </row>
    <row r="30" spans="1:19" x14ac:dyDescent="0.2">
      <c r="A30" t="s">
        <v>30</v>
      </c>
      <c r="B30" s="15" t="s">
        <v>26</v>
      </c>
      <c r="C30" s="20">
        <v>51805.33</v>
      </c>
      <c r="D30" s="20">
        <v>1E-4</v>
      </c>
      <c r="E30">
        <f t="shared" si="0"/>
        <v>21.426374996651433</v>
      </c>
      <c r="F30">
        <f t="shared" si="1"/>
        <v>21.5</v>
      </c>
      <c r="G30">
        <f t="shared" si="2"/>
        <v>-0.13029810000443831</v>
      </c>
      <c r="K30">
        <f t="shared" si="6"/>
        <v>-0.13029810000443831</v>
      </c>
      <c r="O30">
        <f t="shared" ca="1" si="4"/>
        <v>4.2984378109051313E-2</v>
      </c>
      <c r="P30">
        <f t="shared" ca="1" si="5"/>
        <v>-0.18808950785999631</v>
      </c>
      <c r="Q30" s="2">
        <f t="shared" si="3"/>
        <v>36786.83</v>
      </c>
      <c r="S30">
        <f>G30</f>
        <v>-0.13029810000443831</v>
      </c>
    </row>
    <row r="31" spans="1:19" x14ac:dyDescent="0.2">
      <c r="A31" t="s">
        <v>30</v>
      </c>
      <c r="B31" s="15" t="s">
        <v>26</v>
      </c>
      <c r="C31" s="20">
        <v>51819.483999999997</v>
      </c>
      <c r="D31" s="20">
        <v>8.0000000000000004E-4</v>
      </c>
      <c r="E31">
        <f t="shared" si="0"/>
        <v>29.424099425374099</v>
      </c>
      <c r="F31">
        <f t="shared" si="1"/>
        <v>29.5</v>
      </c>
      <c r="G31">
        <f t="shared" si="2"/>
        <v>-0.13432530000864062</v>
      </c>
      <c r="K31">
        <f t="shared" si="6"/>
        <v>-0.13432530000864062</v>
      </c>
      <c r="O31">
        <f t="shared" ca="1" si="4"/>
        <v>4.2791203196226001E-2</v>
      </c>
      <c r="P31">
        <f t="shared" ca="1" si="5"/>
        <v>-0.18807682194099812</v>
      </c>
      <c r="Q31" s="2">
        <f t="shared" si="3"/>
        <v>36800.983999999997</v>
      </c>
      <c r="S31">
        <f>G31</f>
        <v>-0.13432530000864062</v>
      </c>
    </row>
    <row r="32" spans="1:19" x14ac:dyDescent="0.2">
      <c r="A32" t="s">
        <v>30</v>
      </c>
      <c r="B32" s="15" t="s">
        <v>26</v>
      </c>
      <c r="C32" s="20">
        <v>51835.415300000001</v>
      </c>
      <c r="D32" s="20">
        <v>5.9999999999999995E-4</v>
      </c>
      <c r="E32">
        <f t="shared" si="0"/>
        <v>38.426088064019361</v>
      </c>
      <c r="F32">
        <f t="shared" si="1"/>
        <v>38.5</v>
      </c>
      <c r="G32">
        <f t="shared" si="2"/>
        <v>-0.13080590000026859</v>
      </c>
      <c r="K32">
        <f t="shared" si="6"/>
        <v>-0.13080590000026859</v>
      </c>
      <c r="O32">
        <f t="shared" ca="1" si="4"/>
        <v>4.2573881419297528E-2</v>
      </c>
      <c r="P32">
        <f t="shared" ca="1" si="5"/>
        <v>-0.18806255028212518</v>
      </c>
      <c r="Q32" s="2">
        <f t="shared" si="3"/>
        <v>36816.915300000001</v>
      </c>
      <c r="S32">
        <f>G32</f>
        <v>-0.13080590000026859</v>
      </c>
    </row>
    <row r="33" spans="1:19" x14ac:dyDescent="0.2">
      <c r="A33" t="s">
        <v>29</v>
      </c>
      <c r="B33" s="4" t="s">
        <v>27</v>
      </c>
      <c r="C33" s="20">
        <v>52597.421999999999</v>
      </c>
      <c r="D33" s="20">
        <v>1E-4</v>
      </c>
      <c r="E33">
        <f t="shared" si="0"/>
        <v>468.99833615236781</v>
      </c>
      <c r="F33">
        <f t="shared" si="1"/>
        <v>469</v>
      </c>
      <c r="G33">
        <f t="shared" si="2"/>
        <v>-2.9446000044117682E-3</v>
      </c>
      <c r="J33">
        <f>+G33</f>
        <v>-2.9446000044117682E-3</v>
      </c>
      <c r="O33">
        <f t="shared" ca="1" si="4"/>
        <v>3.2178656422885629E-2</v>
      </c>
      <c r="P33">
        <f t="shared" ca="1" si="5"/>
        <v>-0.18737988926603583</v>
      </c>
      <c r="Q33" s="2">
        <f t="shared" si="3"/>
        <v>37578.921999999999</v>
      </c>
      <c r="R33">
        <f>G33</f>
        <v>-2.9446000044117682E-3</v>
      </c>
    </row>
    <row r="34" spans="1:19" x14ac:dyDescent="0.2">
      <c r="A34" s="19" t="s">
        <v>25</v>
      </c>
      <c r="B34" s="19" t="s">
        <v>27</v>
      </c>
      <c r="C34" s="19">
        <v>52882.356099999997</v>
      </c>
      <c r="D34" s="19">
        <v>4.0000000000000002E-4</v>
      </c>
      <c r="E34">
        <f t="shared" si="0"/>
        <v>630.00048481330475</v>
      </c>
      <c r="F34">
        <f t="shared" si="1"/>
        <v>630</v>
      </c>
      <c r="G34">
        <f t="shared" si="2"/>
        <v>8.5799999214941636E-4</v>
      </c>
      <c r="K34">
        <f t="shared" ref="K34:K51" si="7">+G34</f>
        <v>8.5799999214941636E-4</v>
      </c>
      <c r="O34">
        <f t="shared" ca="1" si="4"/>
        <v>2.8291011302276296E-2</v>
      </c>
      <c r="P34">
        <f t="shared" ca="1" si="5"/>
        <v>-0.18712458514619754</v>
      </c>
      <c r="Q34" s="2">
        <f t="shared" si="3"/>
        <v>37863.856099999997</v>
      </c>
    </row>
    <row r="35" spans="1:19" x14ac:dyDescent="0.2">
      <c r="A35" s="22" t="s">
        <v>41</v>
      </c>
      <c r="B35" s="23" t="s">
        <v>26</v>
      </c>
      <c r="C35" s="22">
        <v>53548.510990000002</v>
      </c>
      <c r="D35" s="22">
        <v>2.0000000000000001E-4</v>
      </c>
      <c r="E35">
        <f t="shared" si="0"/>
        <v>1006.4116220937898</v>
      </c>
      <c r="F35">
        <f t="shared" si="1"/>
        <v>1006.5</v>
      </c>
      <c r="G35">
        <f t="shared" si="2"/>
        <v>-0.15640710000297986</v>
      </c>
      <c r="K35">
        <f t="shared" si="7"/>
        <v>-0.15640710000297986</v>
      </c>
      <c r="O35">
        <f t="shared" ca="1" si="4"/>
        <v>1.9199716967435221E-2</v>
      </c>
      <c r="P35">
        <f t="shared" ca="1" si="5"/>
        <v>-0.18652755408334587</v>
      </c>
      <c r="Q35" s="2">
        <f t="shared" si="3"/>
        <v>38530.010990000002</v>
      </c>
      <c r="S35">
        <f>G35</f>
        <v>-0.15640710000297986</v>
      </c>
    </row>
    <row r="36" spans="1:19" x14ac:dyDescent="0.2">
      <c r="A36" s="22" t="s">
        <v>41</v>
      </c>
      <c r="B36" s="23" t="s">
        <v>27</v>
      </c>
      <c r="C36" s="22">
        <v>53611.488400000002</v>
      </c>
      <c r="D36" s="22">
        <v>1E-4</v>
      </c>
      <c r="E36">
        <f t="shared" si="0"/>
        <v>1041.9970375533671</v>
      </c>
      <c r="F36">
        <f t="shared" si="1"/>
        <v>1042</v>
      </c>
      <c r="G36">
        <f t="shared" si="2"/>
        <v>-5.2427999980864115E-3</v>
      </c>
      <c r="K36">
        <f t="shared" si="7"/>
        <v>-5.2427999980864115E-3</v>
      </c>
      <c r="O36">
        <f t="shared" ca="1" si="4"/>
        <v>1.8342503291772914E-2</v>
      </c>
      <c r="P36">
        <f t="shared" ca="1" si="5"/>
        <v>-0.18647126031779146</v>
      </c>
      <c r="Q36" s="2">
        <f t="shared" si="3"/>
        <v>38592.988400000002</v>
      </c>
      <c r="R36">
        <f>G36</f>
        <v>-5.2427999980864115E-3</v>
      </c>
    </row>
    <row r="37" spans="1:19" ht="12.75" customHeight="1" x14ac:dyDescent="0.2">
      <c r="A37" s="22" t="s">
        <v>41</v>
      </c>
      <c r="B37" s="23" t="s">
        <v>26</v>
      </c>
      <c r="C37" s="22">
        <v>54001.565199999997</v>
      </c>
      <c r="D37" s="22">
        <v>3.7000000000000002E-3</v>
      </c>
      <c r="E37">
        <f t="shared" si="0"/>
        <v>1262.4101188335021</v>
      </c>
      <c r="F37">
        <f t="shared" si="1"/>
        <v>1262.5</v>
      </c>
      <c r="G37">
        <f t="shared" si="2"/>
        <v>-0.15906750000431202</v>
      </c>
      <c r="K37">
        <f t="shared" si="7"/>
        <v>-0.15906750000431202</v>
      </c>
      <c r="O37">
        <f t="shared" ca="1" si="4"/>
        <v>1.3018119757025354E-2</v>
      </c>
      <c r="P37">
        <f t="shared" ca="1" si="5"/>
        <v>-0.18612160467540423</v>
      </c>
      <c r="Q37" s="2">
        <f t="shared" si="3"/>
        <v>38983.065199999997</v>
      </c>
      <c r="S37">
        <f>G37</f>
        <v>-0.15906750000431202</v>
      </c>
    </row>
    <row r="38" spans="1:19" ht="12.75" customHeight="1" x14ac:dyDescent="0.2">
      <c r="A38" s="22" t="s">
        <v>41</v>
      </c>
      <c r="B38" s="23" t="s">
        <v>27</v>
      </c>
      <c r="C38" s="22">
        <v>54018.530350000001</v>
      </c>
      <c r="D38" s="22">
        <v>2.0000000000000001E-4</v>
      </c>
      <c r="E38">
        <f t="shared" si="0"/>
        <v>1271.9962849061333</v>
      </c>
      <c r="F38">
        <f t="shared" si="1"/>
        <v>1272</v>
      </c>
      <c r="G38">
        <f t="shared" si="2"/>
        <v>-6.5748000051826239E-3</v>
      </c>
      <c r="K38">
        <f t="shared" si="7"/>
        <v>-6.5748000051826239E-3</v>
      </c>
      <c r="O38">
        <f t="shared" ca="1" si="4"/>
        <v>1.2788724548045301E-2</v>
      </c>
      <c r="P38">
        <f t="shared" ca="1" si="5"/>
        <v>-0.18610654014659389</v>
      </c>
      <c r="Q38" s="2">
        <f t="shared" si="3"/>
        <v>39000.030350000001</v>
      </c>
      <c r="R38">
        <f>G38</f>
        <v>-6.5748000051826239E-3</v>
      </c>
    </row>
    <row r="39" spans="1:19" ht="12.75" customHeight="1" x14ac:dyDescent="0.2">
      <c r="A39" s="22" t="s">
        <v>42</v>
      </c>
      <c r="B39" s="23" t="s">
        <v>27</v>
      </c>
      <c r="C39" s="22">
        <v>54080.47105</v>
      </c>
      <c r="D39" s="22">
        <v>8.0000000000000004E-4</v>
      </c>
      <c r="E39">
        <f t="shared" si="0"/>
        <v>1306.9959068873648</v>
      </c>
      <c r="F39">
        <f t="shared" si="1"/>
        <v>1307</v>
      </c>
      <c r="G39">
        <f t="shared" si="2"/>
        <v>-7.2437999988324009E-3</v>
      </c>
      <c r="K39">
        <f t="shared" si="7"/>
        <v>-7.2437999988324009E-3</v>
      </c>
      <c r="O39">
        <f t="shared" ca="1" si="4"/>
        <v>1.1943584304434575E-2</v>
      </c>
      <c r="P39">
        <f t="shared" ca="1" si="5"/>
        <v>-0.18605103925097688</v>
      </c>
      <c r="Q39" s="2">
        <f t="shared" si="3"/>
        <v>39061.97105</v>
      </c>
      <c r="R39">
        <f>G39</f>
        <v>-7.2437999988324009E-3</v>
      </c>
    </row>
    <row r="40" spans="1:19" ht="12.75" customHeight="1" x14ac:dyDescent="0.2">
      <c r="A40" s="22" t="s">
        <v>42</v>
      </c>
      <c r="B40" s="23" t="s">
        <v>27</v>
      </c>
      <c r="C40" s="22">
        <v>54080.471550000002</v>
      </c>
      <c r="D40" s="22">
        <v>5.0000000000000001E-4</v>
      </c>
      <c r="E40">
        <f t="shared" si="0"/>
        <v>1306.9961894126036</v>
      </c>
      <c r="F40">
        <f t="shared" si="1"/>
        <v>1307</v>
      </c>
      <c r="G40">
        <f t="shared" si="2"/>
        <v>-6.7437999969115481E-3</v>
      </c>
      <c r="K40">
        <f t="shared" si="7"/>
        <v>-6.7437999969115481E-3</v>
      </c>
      <c r="O40">
        <f t="shared" ca="1" si="4"/>
        <v>1.1943584304434575E-2</v>
      </c>
      <c r="P40">
        <f t="shared" ca="1" si="5"/>
        <v>-0.18605103925097688</v>
      </c>
      <c r="Q40" s="2">
        <f t="shared" si="3"/>
        <v>39061.971550000002</v>
      </c>
      <c r="R40">
        <f>G40</f>
        <v>-6.7437999969115481E-3</v>
      </c>
    </row>
    <row r="41" spans="1:19" ht="12.75" customHeight="1" x14ac:dyDescent="0.2">
      <c r="A41" s="22" t="s">
        <v>42</v>
      </c>
      <c r="B41" s="23" t="s">
        <v>27</v>
      </c>
      <c r="C41" s="22">
        <v>54080.471649999999</v>
      </c>
      <c r="D41" s="22">
        <v>5.9999999999999995E-4</v>
      </c>
      <c r="E41">
        <f t="shared" si="0"/>
        <v>1306.9962459176497</v>
      </c>
      <c r="F41">
        <f t="shared" si="1"/>
        <v>1307</v>
      </c>
      <c r="G41">
        <f t="shared" si="2"/>
        <v>-6.6437999994377606E-3</v>
      </c>
      <c r="K41">
        <f t="shared" si="7"/>
        <v>-6.6437999994377606E-3</v>
      </c>
      <c r="O41">
        <f t="shared" ca="1" si="4"/>
        <v>1.1943584304434575E-2</v>
      </c>
      <c r="P41">
        <f t="shared" ca="1" si="5"/>
        <v>-0.18605103925097688</v>
      </c>
      <c r="Q41" s="2">
        <f t="shared" si="3"/>
        <v>39061.971649999999</v>
      </c>
      <c r="R41">
        <f>G41</f>
        <v>-6.6437999994377606E-3</v>
      </c>
    </row>
    <row r="42" spans="1:19" ht="12.75" customHeight="1" x14ac:dyDescent="0.2">
      <c r="A42" s="19" t="s">
        <v>44</v>
      </c>
      <c r="B42" s="24" t="s">
        <v>26</v>
      </c>
      <c r="C42" s="19">
        <v>54663.444900000002</v>
      </c>
      <c r="D42" s="19">
        <v>2.0000000000000001E-4</v>
      </c>
      <c r="E42">
        <f t="shared" si="0"/>
        <v>1636.4055579720878</v>
      </c>
      <c r="F42">
        <f t="shared" si="1"/>
        <v>1636.5</v>
      </c>
      <c r="G42">
        <f t="shared" si="2"/>
        <v>-0.16713909999816678</v>
      </c>
      <c r="K42">
        <f t="shared" si="7"/>
        <v>-0.16713909999816678</v>
      </c>
      <c r="O42">
        <f t="shared" ca="1" si="4"/>
        <v>3.9871925824421922E-3</v>
      </c>
      <c r="P42">
        <f t="shared" ca="1" si="5"/>
        <v>-0.18552853796223948</v>
      </c>
      <c r="Q42" s="2">
        <f t="shared" si="3"/>
        <v>39644.944900000002</v>
      </c>
      <c r="S42">
        <f>G42</f>
        <v>-0.16713909999816678</v>
      </c>
    </row>
    <row r="43" spans="1:19" ht="12.75" customHeight="1" x14ac:dyDescent="0.2">
      <c r="A43" s="19" t="s">
        <v>47</v>
      </c>
      <c r="B43" s="24" t="s">
        <v>27</v>
      </c>
      <c r="C43" s="19">
        <v>54825.5334</v>
      </c>
      <c r="D43" s="19">
        <v>2.0000000000000001E-4</v>
      </c>
      <c r="E43">
        <f t="shared" si="0"/>
        <v>1727.9937419529736</v>
      </c>
      <c r="F43">
        <f t="shared" si="1"/>
        <v>1728</v>
      </c>
      <c r="G43">
        <f t="shared" si="2"/>
        <v>-1.1075200003688224E-2</v>
      </c>
      <c r="K43">
        <f t="shared" si="7"/>
        <v>-1.1075200003688224E-2</v>
      </c>
      <c r="O43">
        <f t="shared" ca="1" si="4"/>
        <v>1.7777545170027248E-3</v>
      </c>
      <c r="P43">
        <f t="shared" ca="1" si="5"/>
        <v>-0.18538344276369784</v>
      </c>
      <c r="Q43" s="2">
        <f t="shared" si="3"/>
        <v>39807.0334</v>
      </c>
      <c r="R43">
        <f>G43</f>
        <v>-1.1075200003688224E-2</v>
      </c>
    </row>
    <row r="44" spans="1:19" x14ac:dyDescent="0.2">
      <c r="A44" s="19" t="s">
        <v>43</v>
      </c>
      <c r="B44" s="24" t="s">
        <v>26</v>
      </c>
      <c r="C44" s="19">
        <v>55153.659</v>
      </c>
      <c r="D44" s="19">
        <v>2.0000000000000001E-4</v>
      </c>
      <c r="E44">
        <f t="shared" si="0"/>
        <v>1913.4012682218872</v>
      </c>
      <c r="F44">
        <f t="shared" si="1"/>
        <v>1913.5</v>
      </c>
      <c r="G44">
        <f t="shared" si="2"/>
        <v>-0.17473090000567026</v>
      </c>
      <c r="K44">
        <f t="shared" si="7"/>
        <v>-0.17473090000567026</v>
      </c>
      <c r="O44">
        <f t="shared" ca="1" si="4"/>
        <v>-2.7014887741341129E-3</v>
      </c>
      <c r="P44">
        <f t="shared" ca="1" si="5"/>
        <v>-0.18508928801692764</v>
      </c>
      <c r="Q44" s="2">
        <f t="shared" si="3"/>
        <v>40135.159</v>
      </c>
      <c r="S44">
        <f>G44</f>
        <v>-0.17473090000567026</v>
      </c>
    </row>
    <row r="45" spans="1:19" x14ac:dyDescent="0.2">
      <c r="A45" s="38" t="s">
        <v>46</v>
      </c>
      <c r="B45" s="39" t="s">
        <v>26</v>
      </c>
      <c r="C45" s="40">
        <v>55491.684999999998</v>
      </c>
      <c r="D45" s="40">
        <v>1E-4</v>
      </c>
      <c r="E45">
        <f t="shared" si="0"/>
        <v>2104.4030202173903</v>
      </c>
      <c r="F45">
        <f t="shared" si="1"/>
        <v>2104.5</v>
      </c>
      <c r="G45">
        <f t="shared" si="2"/>
        <v>-0.17163030000665458</v>
      </c>
      <c r="K45">
        <f t="shared" si="7"/>
        <v>-0.17163030000665458</v>
      </c>
      <c r="O45">
        <f t="shared" ca="1" si="4"/>
        <v>-7.3135398178383465E-3</v>
      </c>
      <c r="P45">
        <f t="shared" ca="1" si="5"/>
        <v>-0.18478641170084617</v>
      </c>
      <c r="Q45" s="2">
        <f t="shared" si="3"/>
        <v>40473.184999999998</v>
      </c>
      <c r="S45">
        <f>G45</f>
        <v>-0.17163030000665458</v>
      </c>
    </row>
    <row r="46" spans="1:19" x14ac:dyDescent="0.2">
      <c r="A46" s="69" t="s">
        <v>176</v>
      </c>
      <c r="B46" s="70" t="s">
        <v>27</v>
      </c>
      <c r="C46" s="71">
        <v>55588.292099999999</v>
      </c>
      <c r="D46" s="71">
        <v>1E-4</v>
      </c>
      <c r="E46">
        <f t="shared" si="0"/>
        <v>2158.9909079988183</v>
      </c>
      <c r="F46">
        <f t="shared" si="1"/>
        <v>2159</v>
      </c>
      <c r="G46">
        <f t="shared" si="2"/>
        <v>-1.6090600001916755E-2</v>
      </c>
      <c r="K46">
        <f t="shared" si="7"/>
        <v>-1.6090600001916755E-2</v>
      </c>
      <c r="O46">
        <f t="shared" ca="1" si="4"/>
        <v>-8.6295439114607644E-3</v>
      </c>
      <c r="P46">
        <f t="shared" ca="1" si="5"/>
        <v>-0.18469998887767111</v>
      </c>
      <c r="Q46" s="2">
        <f t="shared" si="3"/>
        <v>40569.792099999999</v>
      </c>
      <c r="R46">
        <f>G46</f>
        <v>-1.6090600001916755E-2</v>
      </c>
    </row>
    <row r="47" spans="1:19" x14ac:dyDescent="0.2">
      <c r="A47" s="19" t="s">
        <v>48</v>
      </c>
      <c r="B47" s="24" t="s">
        <v>26</v>
      </c>
      <c r="C47" s="19">
        <v>55843.860999999997</v>
      </c>
      <c r="D47" s="19">
        <v>1.9E-3</v>
      </c>
      <c r="E47">
        <f t="shared" si="0"/>
        <v>2303.4002364397179</v>
      </c>
      <c r="F47">
        <f t="shared" si="1"/>
        <v>2303.5</v>
      </c>
      <c r="G47">
        <f t="shared" si="2"/>
        <v>-0.17655690000538016</v>
      </c>
      <c r="K47">
        <f t="shared" si="7"/>
        <v>-0.17655690000538016</v>
      </c>
      <c r="O47">
        <f t="shared" ca="1" si="4"/>
        <v>-1.2118765774367893E-2</v>
      </c>
      <c r="P47">
        <f t="shared" ca="1" si="5"/>
        <v>-0.18447084946576656</v>
      </c>
      <c r="Q47" s="2">
        <f t="shared" si="3"/>
        <v>40825.360999999997</v>
      </c>
      <c r="S47">
        <f>G47</f>
        <v>-0.17655690000538016</v>
      </c>
    </row>
    <row r="48" spans="1:19" x14ac:dyDescent="0.2">
      <c r="A48" s="19" t="s">
        <v>48</v>
      </c>
      <c r="B48" s="24" t="s">
        <v>27</v>
      </c>
      <c r="C48" s="19">
        <v>55844.905599999998</v>
      </c>
      <c r="D48" s="19">
        <v>5.9999999999999995E-4</v>
      </c>
      <c r="E48">
        <f t="shared" si="0"/>
        <v>2303.9904881663147</v>
      </c>
      <c r="F48">
        <f t="shared" si="1"/>
        <v>2304</v>
      </c>
      <c r="G48">
        <f t="shared" si="2"/>
        <v>-1.6833600006066263E-2</v>
      </c>
      <c r="K48">
        <f t="shared" si="7"/>
        <v>-1.6833600006066263E-2</v>
      </c>
      <c r="O48">
        <f t="shared" ca="1" si="4"/>
        <v>-1.2130839206419476E-2</v>
      </c>
      <c r="P48">
        <f t="shared" ca="1" si="5"/>
        <v>-0.18447005659582916</v>
      </c>
      <c r="Q48" s="2">
        <f t="shared" si="3"/>
        <v>40826.405599999998</v>
      </c>
      <c r="R48">
        <f>G48</f>
        <v>-1.6833600006066263E-2</v>
      </c>
    </row>
    <row r="49" spans="1:19" x14ac:dyDescent="0.2">
      <c r="A49" s="19" t="s">
        <v>48</v>
      </c>
      <c r="B49" s="24" t="s">
        <v>26</v>
      </c>
      <c r="C49" s="19">
        <v>55850.9355</v>
      </c>
      <c r="D49" s="19">
        <v>1.5E-3</v>
      </c>
      <c r="E49">
        <f t="shared" si="0"/>
        <v>2307.3976860278935</v>
      </c>
      <c r="F49">
        <f t="shared" si="1"/>
        <v>2307.5</v>
      </c>
      <c r="G49">
        <f t="shared" si="2"/>
        <v>-0.18107050000253366</v>
      </c>
      <c r="K49">
        <f t="shared" si="7"/>
        <v>-0.18107050000253366</v>
      </c>
      <c r="O49">
        <f t="shared" ca="1" si="4"/>
        <v>-1.2215353230780546E-2</v>
      </c>
      <c r="P49">
        <f t="shared" ca="1" si="5"/>
        <v>-0.18446450650626747</v>
      </c>
      <c r="Q49" s="2">
        <f t="shared" si="3"/>
        <v>40832.4355</v>
      </c>
      <c r="S49">
        <f>G49</f>
        <v>-0.18107050000253366</v>
      </c>
    </row>
    <row r="50" spans="1:19" x14ac:dyDescent="0.2">
      <c r="A50" s="41" t="s">
        <v>49</v>
      </c>
      <c r="B50" s="23" t="s">
        <v>27</v>
      </c>
      <c r="C50" s="22">
        <v>56230.705800000003</v>
      </c>
      <c r="D50" s="22">
        <v>3.0000000000000003E-4</v>
      </c>
      <c r="E50">
        <f t="shared" si="0"/>
        <v>2521.9870745833859</v>
      </c>
      <c r="F50">
        <f t="shared" si="1"/>
        <v>2522</v>
      </c>
      <c r="G50">
        <f t="shared" si="2"/>
        <v>-2.2874800000863615E-2</v>
      </c>
      <c r="K50">
        <f t="shared" si="7"/>
        <v>-2.2874800000863615E-2</v>
      </c>
      <c r="O50">
        <f t="shared" ca="1" si="4"/>
        <v>-1.7394855580909127E-2</v>
      </c>
      <c r="P50">
        <f t="shared" ca="1" si="5"/>
        <v>-0.18412436530312887</v>
      </c>
      <c r="Q50" s="2">
        <f t="shared" si="3"/>
        <v>41212.205800000003</v>
      </c>
      <c r="R50">
        <f>G50</f>
        <v>-2.2874800000863615E-2</v>
      </c>
    </row>
    <row r="51" spans="1:19" x14ac:dyDescent="0.2">
      <c r="A51" s="14" t="s">
        <v>61</v>
      </c>
      <c r="B51" s="45" t="s">
        <v>26</v>
      </c>
      <c r="C51" s="14">
        <v>56530.5196</v>
      </c>
      <c r="D51" s="14">
        <v>5.0000000000000001E-4</v>
      </c>
      <c r="E51">
        <f t="shared" si="0"/>
        <v>2691.3970048030405</v>
      </c>
      <c r="F51">
        <f t="shared" si="1"/>
        <v>2691.5</v>
      </c>
      <c r="G51">
        <f t="shared" si="2"/>
        <v>-0.18227610000030836</v>
      </c>
      <c r="K51">
        <f t="shared" si="7"/>
        <v>-0.18227610000030836</v>
      </c>
      <c r="O51">
        <f t="shared" ca="1" si="4"/>
        <v>-2.1487749046395353E-2</v>
      </c>
      <c r="P51">
        <f t="shared" ca="1" si="5"/>
        <v>-0.18385558239435501</v>
      </c>
      <c r="Q51" s="2">
        <f t="shared" si="3"/>
        <v>41512.0196</v>
      </c>
      <c r="S51">
        <f>G51</f>
        <v>-0.18227610000030836</v>
      </c>
    </row>
    <row r="52" spans="1:19" x14ac:dyDescent="0.2">
      <c r="A52" s="46" t="s">
        <v>62</v>
      </c>
      <c r="B52" s="47" t="s">
        <v>27</v>
      </c>
      <c r="C52" s="14">
        <v>56585.380400000002</v>
      </c>
      <c r="D52" s="48">
        <v>3.8E-3</v>
      </c>
      <c r="E52">
        <f t="shared" si="0"/>
        <v>2722.3961259235321</v>
      </c>
      <c r="F52">
        <f t="shared" si="1"/>
        <v>2722.5</v>
      </c>
      <c r="G52">
        <f t="shared" si="2"/>
        <v>-0.18383149999863235</v>
      </c>
      <c r="J52">
        <f>+G52</f>
        <v>-0.18383149999863235</v>
      </c>
      <c r="O52">
        <f t="shared" ca="1" si="4"/>
        <v>-2.2236301833593423E-2</v>
      </c>
      <c r="P52">
        <f t="shared" ca="1" si="5"/>
        <v>-0.18380642445823708</v>
      </c>
      <c r="Q52" s="2">
        <f t="shared" si="3"/>
        <v>41566.880400000002</v>
      </c>
      <c r="S52">
        <f>G52</f>
        <v>-0.18383149999863235</v>
      </c>
    </row>
    <row r="53" spans="1:19" x14ac:dyDescent="0.2">
      <c r="A53" s="44" t="s">
        <v>63</v>
      </c>
      <c r="B53" s="43"/>
      <c r="C53" s="44">
        <v>56908.516300000003</v>
      </c>
      <c r="D53" s="44">
        <v>4.1999999999999997E-3</v>
      </c>
      <c r="E53">
        <f t="shared" si="0"/>
        <v>2904.984219835374</v>
      </c>
      <c r="F53">
        <f t="shared" si="1"/>
        <v>2905</v>
      </c>
      <c r="G53">
        <f t="shared" si="2"/>
        <v>-2.7927000002819113E-2</v>
      </c>
      <c r="J53">
        <f>+G53</f>
        <v>-2.7927000002819113E-2</v>
      </c>
      <c r="O53">
        <f t="shared" ca="1" si="4"/>
        <v>-2.6643104532420768E-2</v>
      </c>
      <c r="P53">
        <f t="shared" ca="1" si="5"/>
        <v>-0.18351702693109118</v>
      </c>
      <c r="Q53" s="2">
        <f t="shared" si="3"/>
        <v>41890.016300000003</v>
      </c>
      <c r="R53">
        <f>G53</f>
        <v>-2.7927000002819113E-2</v>
      </c>
    </row>
    <row r="54" spans="1:19" x14ac:dyDescent="0.2">
      <c r="A54" s="63" t="s">
        <v>2</v>
      </c>
      <c r="B54" s="64" t="s">
        <v>26</v>
      </c>
      <c r="C54" s="79">
        <v>56985.343800000002</v>
      </c>
      <c r="D54" s="65">
        <v>5.0000000000000001E-4</v>
      </c>
      <c r="E54">
        <f t="shared" si="0"/>
        <v>2948.3956352336995</v>
      </c>
      <c r="F54">
        <f t="shared" si="1"/>
        <v>2948.5</v>
      </c>
      <c r="G54">
        <f t="shared" si="2"/>
        <v>-0.18469989999721292</v>
      </c>
      <c r="K54">
        <f t="shared" ref="K54:K59" si="8">+G54</f>
        <v>-0.18469989999721292</v>
      </c>
      <c r="O54">
        <f t="shared" ca="1" si="4"/>
        <v>-2.7693493120908373E-2</v>
      </c>
      <c r="P54">
        <f t="shared" ca="1" si="5"/>
        <v>-0.1834480472465386</v>
      </c>
      <c r="Q54" s="2">
        <f t="shared" si="3"/>
        <v>41966.843800000002</v>
      </c>
      <c r="S54">
        <f>G54</f>
        <v>-0.18469989999721292</v>
      </c>
    </row>
    <row r="55" spans="1:19" x14ac:dyDescent="0.2">
      <c r="A55" s="63" t="s">
        <v>2</v>
      </c>
      <c r="B55" s="64" t="s">
        <v>26</v>
      </c>
      <c r="C55" s="79">
        <v>57176.481099999997</v>
      </c>
      <c r="D55" s="65">
        <v>5.9999999999999995E-4</v>
      </c>
      <c r="E55">
        <f t="shared" si="0"/>
        <v>3056.3978574642065</v>
      </c>
      <c r="F55">
        <f t="shared" si="1"/>
        <v>3056.5</v>
      </c>
      <c r="G55">
        <f t="shared" si="2"/>
        <v>-0.1807671000060509</v>
      </c>
      <c r="K55">
        <f t="shared" si="8"/>
        <v>-0.1807671000060509</v>
      </c>
      <c r="O55">
        <f t="shared" ca="1" si="4"/>
        <v>-3.0301354444050042E-2</v>
      </c>
      <c r="P55">
        <f t="shared" ca="1" si="5"/>
        <v>-0.18327678734006322</v>
      </c>
      <c r="Q55" s="2">
        <f t="shared" si="3"/>
        <v>42157.981099999997</v>
      </c>
      <c r="S55">
        <f>G55</f>
        <v>-0.1807671000060509</v>
      </c>
    </row>
    <row r="56" spans="1:19" x14ac:dyDescent="0.2">
      <c r="A56" s="63" t="s">
        <v>3</v>
      </c>
      <c r="B56" s="64" t="s">
        <v>27</v>
      </c>
      <c r="C56" s="79">
        <v>57246.535900000003</v>
      </c>
      <c r="D56" s="65" t="s">
        <v>1</v>
      </c>
      <c r="E56">
        <f t="shared" si="0"/>
        <v>3095.9823555078351</v>
      </c>
      <c r="F56">
        <f t="shared" si="1"/>
        <v>3096</v>
      </c>
      <c r="G56">
        <f t="shared" si="2"/>
        <v>-3.1226400002196897E-2</v>
      </c>
      <c r="K56">
        <f t="shared" si="8"/>
        <v>-3.1226400002196897E-2</v>
      </c>
      <c r="O56">
        <f t="shared" ca="1" si="4"/>
        <v>-3.1255155576125009E-2</v>
      </c>
      <c r="P56">
        <f t="shared" ca="1" si="5"/>
        <v>-0.18321415061500973</v>
      </c>
      <c r="Q56" s="2">
        <f t="shared" si="3"/>
        <v>42228.035900000003</v>
      </c>
      <c r="R56">
        <f>G56</f>
        <v>-3.1226400002196897E-2</v>
      </c>
    </row>
    <row r="57" spans="1:19" x14ac:dyDescent="0.2">
      <c r="A57" s="66" t="s">
        <v>175</v>
      </c>
      <c r="B57" s="67" t="s">
        <v>27</v>
      </c>
      <c r="C57" s="80">
        <v>57278.389880000002</v>
      </c>
      <c r="D57" s="68">
        <v>4.0000000000000002E-4</v>
      </c>
      <c r="E57">
        <f t="shared" si="0"/>
        <v>3113.9814620500233</v>
      </c>
      <c r="F57">
        <f t="shared" si="1"/>
        <v>3114</v>
      </c>
      <c r="G57">
        <f t="shared" si="2"/>
        <v>-3.2807600000523962E-2</v>
      </c>
      <c r="K57">
        <f t="shared" si="8"/>
        <v>-3.2807600000523962E-2</v>
      </c>
      <c r="O57">
        <f t="shared" ca="1" si="4"/>
        <v>-3.168979912998194E-2</v>
      </c>
      <c r="P57">
        <f t="shared" ca="1" si="5"/>
        <v>-0.18318560729726382</v>
      </c>
      <c r="Q57" s="2">
        <f t="shared" si="3"/>
        <v>42259.889880000002</v>
      </c>
      <c r="R57">
        <f>G57</f>
        <v>-3.2807600000523962E-2</v>
      </c>
    </row>
    <row r="58" spans="1:19" x14ac:dyDescent="0.2">
      <c r="A58" s="63" t="s">
        <v>174</v>
      </c>
      <c r="B58" s="64" t="s">
        <v>26</v>
      </c>
      <c r="C58" s="79">
        <v>57332.217199999999</v>
      </c>
      <c r="D58" s="65">
        <v>2.9999999999999997E-4</v>
      </c>
      <c r="E58">
        <f t="shared" si="0"/>
        <v>3144.3966148052018</v>
      </c>
      <c r="F58">
        <f t="shared" si="1"/>
        <v>3144.5</v>
      </c>
      <c r="G58">
        <f t="shared" si="2"/>
        <v>-0.18296630000259029</v>
      </c>
      <c r="K58">
        <f t="shared" si="8"/>
        <v>-0.18296630000259029</v>
      </c>
      <c r="O58">
        <f t="shared" ca="1" si="4"/>
        <v>-3.2426278485128433E-2</v>
      </c>
      <c r="P58">
        <f t="shared" ca="1" si="5"/>
        <v>-0.18313724223108327</v>
      </c>
      <c r="Q58" s="2">
        <f t="shared" si="3"/>
        <v>42313.717199999999</v>
      </c>
      <c r="S58">
        <f>G58</f>
        <v>-0.18296630000259029</v>
      </c>
    </row>
    <row r="59" spans="1:19" x14ac:dyDescent="0.2">
      <c r="A59" s="63" t="s">
        <v>2</v>
      </c>
      <c r="B59" s="64" t="s">
        <v>26</v>
      </c>
      <c r="C59" s="79">
        <v>57376.459499999997</v>
      </c>
      <c r="D59" s="65">
        <v>2.0000000000000001E-4</v>
      </c>
      <c r="E59">
        <f t="shared" si="0"/>
        <v>3169.395747452721</v>
      </c>
      <c r="F59">
        <f t="shared" si="1"/>
        <v>3169.5</v>
      </c>
      <c r="G59">
        <f t="shared" si="2"/>
        <v>-0.18450130000564968</v>
      </c>
      <c r="K59">
        <f t="shared" si="8"/>
        <v>-0.18450130000564968</v>
      </c>
      <c r="O59">
        <f t="shared" ca="1" si="4"/>
        <v>-3.3029950087707517E-2</v>
      </c>
      <c r="P59">
        <f t="shared" ca="1" si="5"/>
        <v>-0.18309759873421397</v>
      </c>
      <c r="Q59" s="2">
        <f t="shared" si="3"/>
        <v>42357.959499999997</v>
      </c>
      <c r="S59">
        <f>G59</f>
        <v>-0.18450130000564968</v>
      </c>
    </row>
    <row r="60" spans="1:19" x14ac:dyDescent="0.2">
      <c r="A60" s="74" t="s">
        <v>0</v>
      </c>
      <c r="B60" s="72" t="s">
        <v>27</v>
      </c>
      <c r="C60" s="81">
        <v>58039.377</v>
      </c>
      <c r="D60" s="73">
        <v>5.0000000000000001E-3</v>
      </c>
      <c r="E60">
        <f>+(C60-C$7)/C$8</f>
        <v>3543.9775959746694</v>
      </c>
      <c r="F60">
        <f t="shared" si="1"/>
        <v>3544</v>
      </c>
      <c r="G60">
        <f>+C60-(C$7+F60*C$8)</f>
        <v>-3.9649600003031082E-2</v>
      </c>
      <c r="K60">
        <f>+G60</f>
        <v>-3.9649600003031082E-2</v>
      </c>
      <c r="O60">
        <f ca="1">+C$11+C$12*F60</f>
        <v>-4.2072950694342269E-2</v>
      </c>
      <c r="P60">
        <f ca="1">+D$11+D$12*$F60</f>
        <v>-0.18250373915111184</v>
      </c>
      <c r="Q60" s="2">
        <f>+C60-15018.5</f>
        <v>43020.877</v>
      </c>
      <c r="R60">
        <f>G60</f>
        <v>-3.9649600003031082E-2</v>
      </c>
    </row>
    <row r="61" spans="1:19" x14ac:dyDescent="0.2">
      <c r="A61" s="75" t="s">
        <v>177</v>
      </c>
      <c r="B61" s="72" t="s">
        <v>27</v>
      </c>
      <c r="C61" s="81">
        <v>58411.019130000001</v>
      </c>
      <c r="D61" s="73">
        <v>1.3999999999999999E-4</v>
      </c>
      <c r="E61">
        <f>+(C61-C$7)/C$8</f>
        <v>3753.9741582075776</v>
      </c>
      <c r="F61">
        <f t="shared" si="1"/>
        <v>3754</v>
      </c>
      <c r="G61">
        <f>+C61-(C$7+F61*C$8)</f>
        <v>-4.5733600003586616E-2</v>
      </c>
      <c r="K61">
        <f>+G61</f>
        <v>-4.5733600003586616E-2</v>
      </c>
      <c r="O61">
        <f ca="1">+C$11+C$12*F61</f>
        <v>-4.7143792156006607E-2</v>
      </c>
      <c r="P61">
        <f ca="1">+D$11+D$12*$F61</f>
        <v>-0.18217073377740972</v>
      </c>
      <c r="Q61" s="2">
        <f>+C61-15018.5</f>
        <v>43392.519130000001</v>
      </c>
      <c r="R61">
        <f>G61</f>
        <v>-4.5733600003586616E-2</v>
      </c>
    </row>
    <row r="62" spans="1:19" x14ac:dyDescent="0.2">
      <c r="A62" s="76" t="s">
        <v>178</v>
      </c>
      <c r="B62" s="77" t="s">
        <v>27</v>
      </c>
      <c r="C62" s="82">
        <v>59460.468200000003</v>
      </c>
      <c r="D62" s="76">
        <v>1.2999999999999999E-3</v>
      </c>
      <c r="E62">
        <f>+(C62-C$7)/C$8</f>
        <v>4346.9658541127819</v>
      </c>
      <c r="F62">
        <f t="shared" ref="F62" si="9">ROUND(2*E62,0)/2</f>
        <v>4347</v>
      </c>
      <c r="G62">
        <f>+C62-(C$7+F62*C$8)</f>
        <v>-6.0429799996200018E-2</v>
      </c>
      <c r="K62">
        <f>+G62</f>
        <v>-6.0429799996200018E-2</v>
      </c>
      <c r="O62">
        <f ca="1">+C$11+C$12*F62</f>
        <v>-6.1462882569182593E-2</v>
      </c>
      <c r="P62">
        <f ca="1">+D$11+D$12*$F62</f>
        <v>-0.18123039003166994</v>
      </c>
      <c r="Q62" s="2">
        <f>+C62-15018.5</f>
        <v>44441.968200000003</v>
      </c>
      <c r="R62">
        <f>G62</f>
        <v>-6.0429799996200018E-2</v>
      </c>
    </row>
    <row r="63" spans="1:19" x14ac:dyDescent="0.2">
      <c r="A63" s="78" t="s">
        <v>179</v>
      </c>
      <c r="B63" s="78" t="s">
        <v>27</v>
      </c>
      <c r="C63" s="83">
        <v>59752.470000000205</v>
      </c>
      <c r="D63" s="76">
        <v>5.0000000000000001E-4</v>
      </c>
      <c r="E63">
        <f>+(C63-C$7)/C$8</f>
        <v>4511.9616100187759</v>
      </c>
      <c r="F63">
        <f t="shared" ref="F63" si="10">ROUND(2*E63,0)/2</f>
        <v>4512</v>
      </c>
      <c r="G63">
        <f>+C63-(C$7+F63*C$8)</f>
        <v>-6.7940799795906059E-2</v>
      </c>
      <c r="K63">
        <f>+G63</f>
        <v>-6.7940799795906059E-2</v>
      </c>
      <c r="O63">
        <f ca="1">+C$11+C$12*F63</f>
        <v>-6.5447115146204576E-2</v>
      </c>
      <c r="P63">
        <f ca="1">+D$11+D$12*$F63</f>
        <v>-0.18096874295233253</v>
      </c>
      <c r="Q63" s="2">
        <f>+C63-15018.5</f>
        <v>44733.970000000205</v>
      </c>
      <c r="R63">
        <f>G63</f>
        <v>-6.7940799795906059E-2</v>
      </c>
    </row>
    <row r="64" spans="1:19" x14ac:dyDescent="0.2">
      <c r="A64" s="42"/>
      <c r="B64" s="42"/>
      <c r="C64" s="84"/>
      <c r="D64" s="42"/>
    </row>
    <row r="65" spans="1:4" x14ac:dyDescent="0.2">
      <c r="A65" s="42"/>
      <c r="B65" s="42"/>
      <c r="C65" s="84"/>
      <c r="D65" s="42"/>
    </row>
    <row r="66" spans="1:4" x14ac:dyDescent="0.2">
      <c r="A66" s="42"/>
      <c r="B66" s="42"/>
      <c r="C66" s="84"/>
      <c r="D66" s="42"/>
    </row>
    <row r="67" spans="1:4" x14ac:dyDescent="0.2">
      <c r="A67" s="42"/>
      <c r="B67" s="42"/>
      <c r="C67" s="84"/>
      <c r="D67" s="42"/>
    </row>
    <row r="68" spans="1:4" x14ac:dyDescent="0.2">
      <c r="A68" s="42"/>
      <c r="B68" s="42"/>
      <c r="C68" s="84"/>
      <c r="D68" s="42"/>
    </row>
    <row r="69" spans="1:4" x14ac:dyDescent="0.2">
      <c r="A69" s="42"/>
      <c r="B69" s="42"/>
      <c r="C69" s="84"/>
      <c r="D69" s="42"/>
    </row>
    <row r="70" spans="1:4" x14ac:dyDescent="0.2">
      <c r="A70" s="42"/>
      <c r="B70" s="42"/>
      <c r="C70" s="84"/>
      <c r="D70" s="42"/>
    </row>
    <row r="71" spans="1:4" x14ac:dyDescent="0.2">
      <c r="A71" s="42"/>
      <c r="B71" s="42"/>
      <c r="C71" s="84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  <row r="101" spans="1:4" x14ac:dyDescent="0.2">
      <c r="A101" s="42"/>
      <c r="B101" s="42"/>
      <c r="C101" s="42"/>
      <c r="D101" s="42"/>
    </row>
    <row r="102" spans="1:4" x14ac:dyDescent="0.2">
      <c r="A102" s="42"/>
      <c r="B102" s="42"/>
      <c r="C102" s="42"/>
      <c r="D102" s="42"/>
    </row>
    <row r="103" spans="1:4" x14ac:dyDescent="0.2">
      <c r="A103" s="42"/>
      <c r="B103" s="42"/>
      <c r="C103" s="42"/>
      <c r="D103" s="42"/>
    </row>
    <row r="104" spans="1:4" x14ac:dyDescent="0.2">
      <c r="A104" s="42"/>
      <c r="B104" s="42"/>
      <c r="C104" s="42"/>
      <c r="D104" s="42"/>
    </row>
    <row r="105" spans="1:4" x14ac:dyDescent="0.2">
      <c r="A105" s="42"/>
      <c r="B105" s="42"/>
      <c r="C105" s="42"/>
      <c r="D105" s="42"/>
    </row>
    <row r="106" spans="1:4" x14ac:dyDescent="0.2">
      <c r="A106" s="42"/>
      <c r="B106" s="42"/>
      <c r="C106" s="42"/>
      <c r="D106" s="42"/>
    </row>
    <row r="107" spans="1:4" x14ac:dyDescent="0.2">
      <c r="A107" s="42"/>
      <c r="B107" s="42"/>
      <c r="C107" s="42"/>
      <c r="D107" s="42"/>
    </row>
    <row r="108" spans="1:4" x14ac:dyDescent="0.2">
      <c r="A108" s="42"/>
      <c r="B108" s="42"/>
      <c r="C108" s="42"/>
      <c r="D108" s="42"/>
    </row>
    <row r="109" spans="1:4" x14ac:dyDescent="0.2">
      <c r="A109" s="42"/>
      <c r="B109" s="42"/>
      <c r="C109" s="42"/>
      <c r="D109" s="42"/>
    </row>
    <row r="110" spans="1:4" x14ac:dyDescent="0.2">
      <c r="A110" s="42"/>
      <c r="B110" s="42"/>
      <c r="C110" s="42"/>
      <c r="D110" s="42"/>
    </row>
    <row r="111" spans="1:4" x14ac:dyDescent="0.2">
      <c r="A111" s="42"/>
      <c r="B111" s="42"/>
      <c r="C111" s="42"/>
      <c r="D111" s="42"/>
    </row>
    <row r="112" spans="1:4" x14ac:dyDescent="0.2">
      <c r="A112" s="42"/>
      <c r="B112" s="42"/>
      <c r="C112" s="42"/>
      <c r="D112" s="42"/>
    </row>
    <row r="113" spans="1:4" x14ac:dyDescent="0.2">
      <c r="A113" s="42"/>
      <c r="B113" s="42"/>
      <c r="C113" s="42"/>
      <c r="D113" s="42"/>
    </row>
    <row r="114" spans="1:4" x14ac:dyDescent="0.2">
      <c r="A114" s="42"/>
      <c r="B114" s="42"/>
      <c r="C114" s="42"/>
      <c r="D114" s="42"/>
    </row>
    <row r="115" spans="1:4" x14ac:dyDescent="0.2">
      <c r="A115" s="42"/>
      <c r="B115" s="42"/>
      <c r="C115" s="42"/>
      <c r="D115" s="42"/>
    </row>
    <row r="116" spans="1:4" x14ac:dyDescent="0.2">
      <c r="A116" s="42"/>
      <c r="B116" s="42"/>
      <c r="C116" s="42"/>
      <c r="D116" s="42"/>
    </row>
    <row r="117" spans="1:4" x14ac:dyDescent="0.2">
      <c r="A117" s="42"/>
      <c r="B117" s="42"/>
      <c r="C117" s="42"/>
      <c r="D117" s="42"/>
    </row>
    <row r="118" spans="1:4" x14ac:dyDescent="0.2">
      <c r="A118" s="42"/>
      <c r="B118" s="42"/>
      <c r="C118" s="42"/>
      <c r="D118" s="42"/>
    </row>
    <row r="119" spans="1:4" x14ac:dyDescent="0.2">
      <c r="A119" s="42"/>
      <c r="B119" s="42"/>
      <c r="C119" s="42"/>
      <c r="D119" s="42"/>
    </row>
    <row r="120" spans="1:4" x14ac:dyDescent="0.2">
      <c r="A120" s="42"/>
      <c r="B120" s="42"/>
      <c r="C120" s="42"/>
      <c r="D120" s="42"/>
    </row>
    <row r="121" spans="1:4" x14ac:dyDescent="0.2">
      <c r="A121" s="42"/>
      <c r="B121" s="42"/>
      <c r="C121" s="42"/>
      <c r="D121" s="42"/>
    </row>
    <row r="122" spans="1:4" x14ac:dyDescent="0.2">
      <c r="A122" s="42"/>
      <c r="B122" s="42"/>
      <c r="C122" s="42"/>
      <c r="D122" s="42"/>
    </row>
    <row r="123" spans="1:4" x14ac:dyDescent="0.2">
      <c r="A123" s="42"/>
      <c r="B123" s="42"/>
      <c r="C123" s="42"/>
      <c r="D123" s="42"/>
    </row>
    <row r="124" spans="1:4" x14ac:dyDescent="0.2">
      <c r="A124" s="42"/>
      <c r="B124" s="42"/>
      <c r="C124" s="42"/>
      <c r="D124" s="42"/>
    </row>
    <row r="125" spans="1:4" x14ac:dyDescent="0.2">
      <c r="A125" s="42"/>
      <c r="B125" s="42"/>
      <c r="C125" s="42"/>
      <c r="D125" s="42"/>
    </row>
    <row r="126" spans="1:4" x14ac:dyDescent="0.2">
      <c r="A126" s="42"/>
      <c r="B126" s="42"/>
      <c r="C126" s="42"/>
      <c r="D126" s="42"/>
    </row>
    <row r="127" spans="1:4" x14ac:dyDescent="0.2">
      <c r="A127" s="42"/>
      <c r="B127" s="42"/>
      <c r="C127" s="42"/>
      <c r="D127" s="42"/>
    </row>
    <row r="128" spans="1:4" x14ac:dyDescent="0.2">
      <c r="A128" s="42"/>
      <c r="B128" s="42"/>
      <c r="C128" s="42"/>
      <c r="D128" s="42"/>
    </row>
    <row r="129" spans="1:4" x14ac:dyDescent="0.2">
      <c r="A129" s="42"/>
      <c r="B129" s="42"/>
      <c r="C129" s="42"/>
      <c r="D129" s="42"/>
    </row>
    <row r="130" spans="1:4" x14ac:dyDescent="0.2">
      <c r="A130" s="42"/>
      <c r="B130" s="42"/>
      <c r="C130" s="42"/>
      <c r="D130" s="42"/>
    </row>
    <row r="131" spans="1:4" x14ac:dyDescent="0.2">
      <c r="A131" s="42"/>
      <c r="B131" s="42"/>
      <c r="C131" s="42"/>
      <c r="D131" s="42"/>
    </row>
    <row r="132" spans="1:4" x14ac:dyDescent="0.2">
      <c r="A132" s="42"/>
      <c r="B132" s="42"/>
      <c r="C132" s="42"/>
      <c r="D132" s="42"/>
    </row>
    <row r="133" spans="1:4" x14ac:dyDescent="0.2">
      <c r="A133" s="42"/>
      <c r="B133" s="42"/>
      <c r="C133" s="42"/>
      <c r="D133" s="42"/>
    </row>
    <row r="134" spans="1:4" x14ac:dyDescent="0.2">
      <c r="A134" s="42"/>
      <c r="B134" s="42"/>
      <c r="C134" s="42"/>
      <c r="D134" s="42"/>
    </row>
    <row r="135" spans="1:4" x14ac:dyDescent="0.2">
      <c r="A135" s="42"/>
      <c r="B135" s="42"/>
      <c r="C135" s="42"/>
      <c r="D135" s="42"/>
    </row>
    <row r="136" spans="1:4" x14ac:dyDescent="0.2">
      <c r="A136" s="42"/>
      <c r="B136" s="42"/>
      <c r="C136" s="42"/>
      <c r="D136" s="42"/>
    </row>
    <row r="137" spans="1:4" x14ac:dyDescent="0.2">
      <c r="A137" s="42"/>
      <c r="B137" s="42"/>
      <c r="C137" s="42"/>
      <c r="D137" s="42"/>
    </row>
    <row r="138" spans="1:4" x14ac:dyDescent="0.2">
      <c r="A138" s="42"/>
      <c r="B138" s="42"/>
      <c r="C138" s="42"/>
      <c r="D138" s="42"/>
    </row>
    <row r="139" spans="1:4" x14ac:dyDescent="0.2">
      <c r="A139" s="42"/>
      <c r="B139" s="42"/>
      <c r="C139" s="42"/>
      <c r="D139" s="42"/>
    </row>
    <row r="140" spans="1:4" x14ac:dyDescent="0.2">
      <c r="A140" s="42"/>
      <c r="B140" s="42"/>
      <c r="C140" s="42"/>
      <c r="D140" s="42"/>
    </row>
    <row r="141" spans="1:4" x14ac:dyDescent="0.2">
      <c r="A141" s="42"/>
      <c r="B141" s="42"/>
      <c r="C141" s="42"/>
      <c r="D141" s="42"/>
    </row>
    <row r="142" spans="1:4" x14ac:dyDescent="0.2">
      <c r="A142" s="42"/>
      <c r="B142" s="42"/>
      <c r="C142" s="42"/>
      <c r="D142" s="42"/>
    </row>
    <row r="143" spans="1:4" x14ac:dyDescent="0.2">
      <c r="A143" s="42"/>
      <c r="B143" s="42"/>
      <c r="C143" s="42"/>
      <c r="D143" s="42"/>
    </row>
    <row r="144" spans="1:4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  <row r="201" spans="1:4" x14ac:dyDescent="0.2">
      <c r="A201" s="42"/>
      <c r="B201" s="42"/>
      <c r="C201" s="42"/>
      <c r="D201" s="42"/>
    </row>
    <row r="202" spans="1:4" x14ac:dyDescent="0.2">
      <c r="A202" s="42"/>
      <c r="B202" s="42"/>
      <c r="C202" s="42"/>
      <c r="D202" s="42"/>
    </row>
    <row r="203" spans="1:4" x14ac:dyDescent="0.2">
      <c r="A203" s="42"/>
      <c r="B203" s="42"/>
      <c r="C203" s="42"/>
      <c r="D203" s="42"/>
    </row>
    <row r="204" spans="1:4" x14ac:dyDescent="0.2">
      <c r="A204" s="42"/>
      <c r="B204" s="42"/>
      <c r="C204" s="42"/>
      <c r="D204" s="42"/>
    </row>
    <row r="205" spans="1:4" x14ac:dyDescent="0.2">
      <c r="A205" s="42"/>
      <c r="B205" s="42"/>
      <c r="C205" s="42"/>
      <c r="D205" s="42"/>
    </row>
    <row r="206" spans="1:4" x14ac:dyDescent="0.2">
      <c r="A206" s="42"/>
      <c r="B206" s="42"/>
      <c r="C206" s="42"/>
      <c r="D206" s="42"/>
    </row>
    <row r="207" spans="1:4" x14ac:dyDescent="0.2">
      <c r="A207" s="42"/>
      <c r="B207" s="42"/>
      <c r="C207" s="42"/>
      <c r="D207" s="42"/>
    </row>
    <row r="208" spans="1:4" x14ac:dyDescent="0.2">
      <c r="A208" s="42"/>
      <c r="B208" s="42"/>
      <c r="C208" s="42"/>
      <c r="D208" s="42"/>
    </row>
  </sheetData>
  <protectedRanges>
    <protectedRange sqref="A61:D61" name="Range1"/>
  </protectedRanges>
  <phoneticPr fontId="8" type="noConversion"/>
  <hyperlinks>
    <hyperlink ref="H2195" r:id="rId1" display="http://vsolj.cetus-net.org/bulletin.html" xr:uid="{00000000-0004-0000-0000-000000000000}"/>
    <hyperlink ref="H64594" r:id="rId2" display="http://vsolj.cetus-net.org/bulletin.html" xr:uid="{00000000-0004-0000-0000-000001000000}"/>
    <hyperlink ref="H64587" r:id="rId3" display="https://www.aavso.org/ejaavso" xr:uid="{00000000-0004-0000-0000-000002000000}"/>
    <hyperlink ref="AP1445" r:id="rId4" display="http://cdsbib.u-strasbg.fr/cgi-bin/cdsbib?1990RMxAA..21..381G" xr:uid="{00000000-0004-0000-0000-000003000000}"/>
    <hyperlink ref="AP1442" r:id="rId5" display="http://cdsbib.u-strasbg.fr/cgi-bin/cdsbib?1990RMxAA..21..381G" xr:uid="{00000000-0004-0000-0000-000004000000}"/>
    <hyperlink ref="AP1444" r:id="rId6" display="http://cdsbib.u-strasbg.fr/cgi-bin/cdsbib?1990RMxAA..21..381G" xr:uid="{00000000-0004-0000-0000-000005000000}"/>
    <hyperlink ref="AP1420" r:id="rId7" display="http://cdsbib.u-strasbg.fr/cgi-bin/cdsbib?1990RMxAA..21..381G" xr:uid="{00000000-0004-0000-0000-000006000000}"/>
    <hyperlink ref="I64594" r:id="rId8" display="http://vsolj.cetus-net.org/bulletin.html" xr:uid="{00000000-0004-0000-0000-000007000000}"/>
    <hyperlink ref="AQ1581" r:id="rId9" display="http://cdsbib.u-strasbg.fr/cgi-bin/cdsbib?1990RMxAA..21..381G" xr:uid="{00000000-0004-0000-0000-000008000000}"/>
    <hyperlink ref="AQ3225" r:id="rId10" display="http://cdsbib.u-strasbg.fr/cgi-bin/cdsbib?1990RMxAA..21..381G" xr:uid="{00000000-0004-0000-0000-000009000000}"/>
    <hyperlink ref="AQ1582" r:id="rId11" display="http://cdsbib.u-strasbg.fr/cgi-bin/cdsbib?1990RMxAA..21..381G" xr:uid="{00000000-0004-0000-0000-00000A000000}"/>
    <hyperlink ref="H64591" r:id="rId12" display="https://www.aavso.org/ejaavso" xr:uid="{00000000-0004-0000-0000-00000B000000}"/>
    <hyperlink ref="H2432" r:id="rId13" display="http://vsolj.cetus-net.org/bulletin.html" xr:uid="{00000000-0004-0000-0000-00000C000000}"/>
    <hyperlink ref="AP5670" r:id="rId14" display="http://cdsbib.u-strasbg.fr/cgi-bin/cdsbib?1990RMxAA..21..381G" xr:uid="{00000000-0004-0000-0000-00000D000000}"/>
    <hyperlink ref="AP5673" r:id="rId15" display="http://cdsbib.u-strasbg.fr/cgi-bin/cdsbib?1990RMxAA..21..381G" xr:uid="{00000000-0004-0000-0000-00000E000000}"/>
    <hyperlink ref="AP5671" r:id="rId16" display="http://cdsbib.u-strasbg.fr/cgi-bin/cdsbib?1990RMxAA..21..381G" xr:uid="{00000000-0004-0000-0000-00000F000000}"/>
    <hyperlink ref="AP5649" r:id="rId17" display="http://cdsbib.u-strasbg.fr/cgi-bin/cdsbib?1990RMxAA..21..381G" xr:uid="{00000000-0004-0000-0000-000010000000}"/>
    <hyperlink ref="I2432" r:id="rId18" display="http://vsolj.cetus-net.org/bulletin.html" xr:uid="{00000000-0004-0000-0000-000011000000}"/>
    <hyperlink ref="AQ5783" r:id="rId19" display="http://cdsbib.u-strasbg.fr/cgi-bin/cdsbib?1990RMxAA..21..381G" xr:uid="{00000000-0004-0000-0000-000012000000}"/>
    <hyperlink ref="AQ335" r:id="rId20" display="http://cdsbib.u-strasbg.fr/cgi-bin/cdsbib?1990RMxAA..21..381G" xr:uid="{00000000-0004-0000-0000-000013000000}"/>
    <hyperlink ref="AQ578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0"/>
  <sheetViews>
    <sheetView workbookViewId="0">
      <selection activeCell="A33" sqref="A33:D35"/>
    </sheetView>
  </sheetViews>
  <sheetFormatPr defaultRowHeight="12.75" x14ac:dyDescent="0.2"/>
  <cols>
    <col min="1" max="1" width="19.7109375" style="21" customWidth="1"/>
    <col min="2" max="2" width="4.42578125" style="33" customWidth="1"/>
    <col min="3" max="3" width="12.7109375" style="21" customWidth="1"/>
    <col min="4" max="4" width="5.42578125" style="33" customWidth="1"/>
    <col min="5" max="5" width="14.85546875" style="33" customWidth="1"/>
    <col min="6" max="6" width="9.140625" style="33"/>
    <col min="7" max="7" width="12" style="33" customWidth="1"/>
    <col min="8" max="8" width="14.140625" style="21" customWidth="1"/>
    <col min="9" max="9" width="22.5703125" style="33" customWidth="1"/>
    <col min="10" max="10" width="25.140625" style="33" customWidth="1"/>
    <col min="11" max="11" width="15.7109375" style="33" customWidth="1"/>
    <col min="12" max="12" width="14.140625" style="33" customWidth="1"/>
    <col min="13" max="13" width="9.5703125" style="33" customWidth="1"/>
    <col min="14" max="14" width="14.140625" style="33" customWidth="1"/>
    <col min="15" max="15" width="23.42578125" style="33" customWidth="1"/>
    <col min="16" max="16" width="16.5703125" style="33" customWidth="1"/>
    <col min="17" max="17" width="41" style="33" customWidth="1"/>
    <col min="18" max="16384" width="9.140625" style="33"/>
  </cols>
  <sheetData>
    <row r="1" spans="1:16" ht="15.75" x14ac:dyDescent="0.25">
      <c r="A1" s="49" t="s">
        <v>64</v>
      </c>
      <c r="I1" s="50" t="s">
        <v>65</v>
      </c>
      <c r="J1" s="51" t="s">
        <v>66</v>
      </c>
    </row>
    <row r="2" spans="1:16" x14ac:dyDescent="0.2">
      <c r="I2" s="52" t="s">
        <v>67</v>
      </c>
      <c r="J2" s="53" t="s">
        <v>68</v>
      </c>
    </row>
    <row r="3" spans="1:16" x14ac:dyDescent="0.2">
      <c r="A3" s="54" t="s">
        <v>69</v>
      </c>
      <c r="I3" s="52" t="s">
        <v>70</v>
      </c>
      <c r="J3" s="53" t="s">
        <v>71</v>
      </c>
    </row>
    <row r="4" spans="1:16" x14ac:dyDescent="0.2">
      <c r="I4" s="52" t="s">
        <v>72</v>
      </c>
      <c r="J4" s="53" t="s">
        <v>71</v>
      </c>
    </row>
    <row r="5" spans="1:16" ht="13.5" thickBot="1" x14ac:dyDescent="0.25">
      <c r="I5" s="55" t="s">
        <v>73</v>
      </c>
      <c r="J5" s="56" t="s">
        <v>74</v>
      </c>
    </row>
    <row r="10" spans="1:16" ht="13.5" thickBot="1" x14ac:dyDescent="0.25"/>
    <row r="11" spans="1:16" ht="12.75" customHeight="1" thickBot="1" x14ac:dyDescent="0.25">
      <c r="A11" s="21" t="str">
        <f t="shared" ref="A11:A35" si="0">P11</f>
        <v>IBVS 5386 </v>
      </c>
      <c r="B11" s="4" t="str">
        <f t="shared" ref="B11:B35" si="1">IF(H11=INT(H11),"I","II")</f>
        <v>I</v>
      </c>
      <c r="C11" s="21">
        <f t="shared" ref="C11:C35" si="2">1*G11</f>
        <v>51767.41</v>
      </c>
      <c r="D11" s="33" t="str">
        <f t="shared" ref="D11:D35" si="3">VLOOKUP(F11,I$1:J$5,2,FALSE)</f>
        <v>vis</v>
      </c>
      <c r="E11" s="57">
        <f>VLOOKUP(C11,Active!C$21:E$970,3,FALSE)</f>
        <v>-3.3903028489429114E-4</v>
      </c>
      <c r="F11" s="4" t="s">
        <v>73</v>
      </c>
      <c r="G11" s="33" t="str">
        <f t="shared" ref="G11:G35" si="4">MID(I11,3,LEN(I11)-3)</f>
        <v>51767.4100</v>
      </c>
      <c r="H11" s="21">
        <f t="shared" ref="H11:H35" si="5">1*K11</f>
        <v>-415</v>
      </c>
      <c r="I11" s="58" t="s">
        <v>75</v>
      </c>
      <c r="J11" s="59" t="s">
        <v>76</v>
      </c>
      <c r="K11" s="58">
        <v>-415</v>
      </c>
      <c r="L11" s="58" t="s">
        <v>77</v>
      </c>
      <c r="M11" s="59" t="s">
        <v>78</v>
      </c>
      <c r="N11" s="59" t="s">
        <v>79</v>
      </c>
      <c r="O11" s="60" t="s">
        <v>80</v>
      </c>
      <c r="P11" s="61" t="s">
        <v>81</v>
      </c>
    </row>
    <row r="12" spans="1:16" ht="12.75" customHeight="1" thickBot="1" x14ac:dyDescent="0.25">
      <c r="A12" s="21" t="str">
        <f t="shared" si="0"/>
        <v>IBVS 5386 </v>
      </c>
      <c r="B12" s="4" t="str">
        <f t="shared" si="1"/>
        <v>I</v>
      </c>
      <c r="C12" s="21">
        <f t="shared" si="2"/>
        <v>51774.489300000001</v>
      </c>
      <c r="D12" s="33" t="str">
        <f t="shared" si="3"/>
        <v>vis</v>
      </c>
      <c r="E12" s="57">
        <f>VLOOKUP(C12,Active!C$21:E$970,3,FALSE)</f>
        <v>3.9998228001699037</v>
      </c>
      <c r="F12" s="4" t="s">
        <v>73</v>
      </c>
      <c r="G12" s="33" t="str">
        <f t="shared" si="4"/>
        <v>51774.4893</v>
      </c>
      <c r="H12" s="21">
        <f t="shared" si="5"/>
        <v>-411</v>
      </c>
      <c r="I12" s="58" t="s">
        <v>82</v>
      </c>
      <c r="J12" s="59" t="s">
        <v>83</v>
      </c>
      <c r="K12" s="58">
        <v>-411</v>
      </c>
      <c r="L12" s="58" t="s">
        <v>84</v>
      </c>
      <c r="M12" s="59" t="s">
        <v>78</v>
      </c>
      <c r="N12" s="59" t="s">
        <v>79</v>
      </c>
      <c r="O12" s="60" t="s">
        <v>80</v>
      </c>
      <c r="P12" s="61" t="s">
        <v>81</v>
      </c>
    </row>
    <row r="13" spans="1:16" ht="12.75" customHeight="1" thickBot="1" x14ac:dyDescent="0.25">
      <c r="A13" s="21" t="str">
        <f t="shared" si="0"/>
        <v>IBVS 5386 </v>
      </c>
      <c r="B13" s="4" t="str">
        <f t="shared" si="1"/>
        <v>I</v>
      </c>
      <c r="C13" s="21">
        <f t="shared" si="2"/>
        <v>51797.496200000001</v>
      </c>
      <c r="D13" s="33" t="str">
        <f t="shared" si="3"/>
        <v>vis</v>
      </c>
      <c r="E13" s="57">
        <f>VLOOKUP(C13,Active!C$21:E$970,3,FALSE)</f>
        <v>16.999882582510377</v>
      </c>
      <c r="F13" s="4" t="s">
        <v>73</v>
      </c>
      <c r="G13" s="33" t="str">
        <f t="shared" si="4"/>
        <v>51797.4962</v>
      </c>
      <c r="H13" s="21">
        <f t="shared" si="5"/>
        <v>-398</v>
      </c>
      <c r="I13" s="58" t="s">
        <v>85</v>
      </c>
      <c r="J13" s="59" t="s">
        <v>86</v>
      </c>
      <c r="K13" s="58">
        <v>-398</v>
      </c>
      <c r="L13" s="58" t="s">
        <v>87</v>
      </c>
      <c r="M13" s="59" t="s">
        <v>78</v>
      </c>
      <c r="N13" s="59" t="s">
        <v>79</v>
      </c>
      <c r="O13" s="60" t="s">
        <v>80</v>
      </c>
      <c r="P13" s="61" t="s">
        <v>81</v>
      </c>
    </row>
    <row r="14" spans="1:16" ht="12.75" customHeight="1" thickBot="1" x14ac:dyDescent="0.25">
      <c r="A14" s="21" t="str">
        <f t="shared" si="0"/>
        <v>IBVS 5386 </v>
      </c>
      <c r="B14" s="4" t="str">
        <f t="shared" si="1"/>
        <v>I</v>
      </c>
      <c r="C14" s="21">
        <f t="shared" si="2"/>
        <v>51797.496700000003</v>
      </c>
      <c r="D14" s="33" t="str">
        <f t="shared" si="3"/>
        <v>vis</v>
      </c>
      <c r="E14" s="57">
        <f>VLOOKUP(C14,Active!C$21:E$970,3,FALSE)</f>
        <v>17.000165107749162</v>
      </c>
      <c r="F14" s="4" t="s">
        <v>73</v>
      </c>
      <c r="G14" s="33" t="str">
        <f t="shared" si="4"/>
        <v>51797.4967</v>
      </c>
      <c r="H14" s="21">
        <f t="shared" si="5"/>
        <v>-398</v>
      </c>
      <c r="I14" s="58" t="s">
        <v>88</v>
      </c>
      <c r="J14" s="59" t="s">
        <v>89</v>
      </c>
      <c r="K14" s="58">
        <v>-398</v>
      </c>
      <c r="L14" s="58" t="s">
        <v>90</v>
      </c>
      <c r="M14" s="59" t="s">
        <v>78</v>
      </c>
      <c r="N14" s="59" t="s">
        <v>79</v>
      </c>
      <c r="O14" s="60" t="s">
        <v>80</v>
      </c>
      <c r="P14" s="61" t="s">
        <v>81</v>
      </c>
    </row>
    <row r="15" spans="1:16" ht="12.75" customHeight="1" thickBot="1" x14ac:dyDescent="0.25">
      <c r="A15" s="21" t="str">
        <f t="shared" si="0"/>
        <v>IBVS 5386 </v>
      </c>
      <c r="B15" s="4" t="str">
        <f t="shared" si="1"/>
        <v>II</v>
      </c>
      <c r="C15" s="21">
        <f t="shared" si="2"/>
        <v>51805.33</v>
      </c>
      <c r="D15" s="33" t="str">
        <f t="shared" si="3"/>
        <v>vis</v>
      </c>
      <c r="E15" s="57">
        <f>VLOOKUP(C15,Active!C$21:E$970,3,FALSE)</f>
        <v>21.426374996651433</v>
      </c>
      <c r="F15" s="4" t="s">
        <v>73</v>
      </c>
      <c r="G15" s="33" t="str">
        <f t="shared" si="4"/>
        <v>51805.330</v>
      </c>
      <c r="H15" s="21">
        <f t="shared" si="5"/>
        <v>-393.5</v>
      </c>
      <c r="I15" s="58" t="s">
        <v>91</v>
      </c>
      <c r="J15" s="59" t="s">
        <v>92</v>
      </c>
      <c r="K15" s="58">
        <v>-393.5</v>
      </c>
      <c r="L15" s="58" t="s">
        <v>93</v>
      </c>
      <c r="M15" s="59" t="s">
        <v>78</v>
      </c>
      <c r="N15" s="59" t="s">
        <v>79</v>
      </c>
      <c r="O15" s="60" t="s">
        <v>80</v>
      </c>
      <c r="P15" s="61" t="s">
        <v>81</v>
      </c>
    </row>
    <row r="16" spans="1:16" ht="12.75" customHeight="1" thickBot="1" x14ac:dyDescent="0.25">
      <c r="A16" s="21" t="str">
        <f t="shared" si="0"/>
        <v>IBVS 5386 </v>
      </c>
      <c r="B16" s="4" t="str">
        <f t="shared" si="1"/>
        <v>II</v>
      </c>
      <c r="C16" s="21">
        <f t="shared" si="2"/>
        <v>51819.483999999997</v>
      </c>
      <c r="D16" s="33" t="str">
        <f t="shared" si="3"/>
        <v>vis</v>
      </c>
      <c r="E16" s="57">
        <f>VLOOKUP(C16,Active!C$21:E$970,3,FALSE)</f>
        <v>29.424099425374099</v>
      </c>
      <c r="F16" s="4" t="s">
        <v>73</v>
      </c>
      <c r="G16" s="33" t="str">
        <f t="shared" si="4"/>
        <v>51819.4840</v>
      </c>
      <c r="H16" s="21">
        <f t="shared" si="5"/>
        <v>-385.5</v>
      </c>
      <c r="I16" s="58" t="s">
        <v>94</v>
      </c>
      <c r="J16" s="59" t="s">
        <v>95</v>
      </c>
      <c r="K16" s="58">
        <v>-385.5</v>
      </c>
      <c r="L16" s="58" t="s">
        <v>96</v>
      </c>
      <c r="M16" s="59" t="s">
        <v>78</v>
      </c>
      <c r="N16" s="59" t="s">
        <v>79</v>
      </c>
      <c r="O16" s="60" t="s">
        <v>80</v>
      </c>
      <c r="P16" s="61" t="s">
        <v>81</v>
      </c>
    </row>
    <row r="17" spans="1:16" ht="12.75" customHeight="1" thickBot="1" x14ac:dyDescent="0.25">
      <c r="A17" s="21" t="str">
        <f t="shared" si="0"/>
        <v>IBVS 5386 </v>
      </c>
      <c r="B17" s="4" t="str">
        <f t="shared" si="1"/>
        <v>II</v>
      </c>
      <c r="C17" s="21">
        <f t="shared" si="2"/>
        <v>51835.415300000001</v>
      </c>
      <c r="D17" s="33" t="str">
        <f t="shared" si="3"/>
        <v>vis</v>
      </c>
      <c r="E17" s="57">
        <f>VLOOKUP(C17,Active!C$21:E$970,3,FALSE)</f>
        <v>38.426088064019361</v>
      </c>
      <c r="F17" s="4" t="s">
        <v>73</v>
      </c>
      <c r="G17" s="33" t="str">
        <f t="shared" si="4"/>
        <v>51835.4153</v>
      </c>
      <c r="H17" s="21">
        <f t="shared" si="5"/>
        <v>-376.5</v>
      </c>
      <c r="I17" s="58" t="s">
        <v>97</v>
      </c>
      <c r="J17" s="59" t="s">
        <v>98</v>
      </c>
      <c r="K17" s="58">
        <v>-376.5</v>
      </c>
      <c r="L17" s="58" t="s">
        <v>99</v>
      </c>
      <c r="M17" s="59" t="s">
        <v>78</v>
      </c>
      <c r="N17" s="59" t="s">
        <v>79</v>
      </c>
      <c r="O17" s="60" t="s">
        <v>80</v>
      </c>
      <c r="P17" s="61" t="s">
        <v>81</v>
      </c>
    </row>
    <row r="18" spans="1:16" ht="12.75" customHeight="1" thickBot="1" x14ac:dyDescent="0.25">
      <c r="A18" s="21" t="str">
        <f t="shared" si="0"/>
        <v>OEJV 0074 </v>
      </c>
      <c r="B18" s="4" t="str">
        <f t="shared" si="1"/>
        <v>II</v>
      </c>
      <c r="C18" s="21">
        <f t="shared" si="2"/>
        <v>53548.510990000002</v>
      </c>
      <c r="D18" s="33" t="str">
        <f t="shared" si="3"/>
        <v>vis</v>
      </c>
      <c r="E18" s="57">
        <f>VLOOKUP(C18,Active!C$21:E$970,3,FALSE)</f>
        <v>1006.4116220937898</v>
      </c>
      <c r="F18" s="4" t="s">
        <v>73</v>
      </c>
      <c r="G18" s="33" t="str">
        <f t="shared" si="4"/>
        <v>53548.51099</v>
      </c>
      <c r="H18" s="21">
        <f t="shared" si="5"/>
        <v>591.5</v>
      </c>
      <c r="I18" s="58" t="s">
        <v>100</v>
      </c>
      <c r="J18" s="59" t="s">
        <v>101</v>
      </c>
      <c r="K18" s="58">
        <v>591.5</v>
      </c>
      <c r="L18" s="58" t="s">
        <v>102</v>
      </c>
      <c r="M18" s="59" t="s">
        <v>103</v>
      </c>
      <c r="N18" s="59" t="s">
        <v>104</v>
      </c>
      <c r="O18" s="60" t="s">
        <v>105</v>
      </c>
      <c r="P18" s="61" t="s">
        <v>106</v>
      </c>
    </row>
    <row r="19" spans="1:16" ht="12.75" customHeight="1" thickBot="1" x14ac:dyDescent="0.25">
      <c r="A19" s="21" t="str">
        <f t="shared" si="0"/>
        <v>OEJV 0074 </v>
      </c>
      <c r="B19" s="4" t="str">
        <f t="shared" si="1"/>
        <v>I</v>
      </c>
      <c r="C19" s="21">
        <f t="shared" si="2"/>
        <v>53611.488400000002</v>
      </c>
      <c r="D19" s="33" t="str">
        <f t="shared" si="3"/>
        <v>vis</v>
      </c>
      <c r="E19" s="57">
        <f>VLOOKUP(C19,Active!C$21:E$970,3,FALSE)</f>
        <v>1041.9970375533671</v>
      </c>
      <c r="F19" s="4" t="s">
        <v>73</v>
      </c>
      <c r="G19" s="33" t="str">
        <f t="shared" si="4"/>
        <v>53611.48840</v>
      </c>
      <c r="H19" s="21">
        <f t="shared" si="5"/>
        <v>627</v>
      </c>
      <c r="I19" s="58" t="s">
        <v>107</v>
      </c>
      <c r="J19" s="59" t="s">
        <v>108</v>
      </c>
      <c r="K19" s="58">
        <v>627</v>
      </c>
      <c r="L19" s="58" t="s">
        <v>109</v>
      </c>
      <c r="M19" s="59" t="s">
        <v>103</v>
      </c>
      <c r="N19" s="59" t="s">
        <v>104</v>
      </c>
      <c r="O19" s="60" t="s">
        <v>105</v>
      </c>
      <c r="P19" s="61" t="s">
        <v>106</v>
      </c>
    </row>
    <row r="20" spans="1:16" ht="12.75" customHeight="1" thickBot="1" x14ac:dyDescent="0.25">
      <c r="A20" s="21" t="str">
        <f t="shared" si="0"/>
        <v>OEJV 0074 </v>
      </c>
      <c r="B20" s="4" t="str">
        <f t="shared" si="1"/>
        <v>II</v>
      </c>
      <c r="C20" s="21">
        <f t="shared" si="2"/>
        <v>54001.565199999997</v>
      </c>
      <c r="D20" s="33" t="str">
        <f t="shared" si="3"/>
        <v>vis</v>
      </c>
      <c r="E20" s="57">
        <f>VLOOKUP(C20,Active!C$21:E$970,3,FALSE)</f>
        <v>1262.4101188335021</v>
      </c>
      <c r="F20" s="4" t="s">
        <v>73</v>
      </c>
      <c r="G20" s="33" t="str">
        <f t="shared" si="4"/>
        <v>54001.56520</v>
      </c>
      <c r="H20" s="21">
        <f t="shared" si="5"/>
        <v>847.5</v>
      </c>
      <c r="I20" s="58" t="s">
        <v>110</v>
      </c>
      <c r="J20" s="59" t="s">
        <v>111</v>
      </c>
      <c r="K20" s="58">
        <v>847.5</v>
      </c>
      <c r="L20" s="58" t="s">
        <v>112</v>
      </c>
      <c r="M20" s="59" t="s">
        <v>103</v>
      </c>
      <c r="N20" s="59" t="s">
        <v>104</v>
      </c>
      <c r="O20" s="60" t="s">
        <v>113</v>
      </c>
      <c r="P20" s="61" t="s">
        <v>106</v>
      </c>
    </row>
    <row r="21" spans="1:16" ht="12.75" customHeight="1" thickBot="1" x14ac:dyDescent="0.25">
      <c r="A21" s="21" t="str">
        <f t="shared" si="0"/>
        <v>OEJV 0074 </v>
      </c>
      <c r="B21" s="4" t="str">
        <f t="shared" si="1"/>
        <v>I</v>
      </c>
      <c r="C21" s="21">
        <f t="shared" si="2"/>
        <v>54018.530350000001</v>
      </c>
      <c r="D21" s="33" t="str">
        <f t="shared" si="3"/>
        <v>vis</v>
      </c>
      <c r="E21" s="57">
        <f>VLOOKUP(C21,Active!C$21:E$970,3,FALSE)</f>
        <v>1271.9962849061333</v>
      </c>
      <c r="F21" s="4" t="s">
        <v>73</v>
      </c>
      <c r="G21" s="33" t="str">
        <f t="shared" si="4"/>
        <v>54018.53035</v>
      </c>
      <c r="H21" s="21">
        <f t="shared" si="5"/>
        <v>857</v>
      </c>
      <c r="I21" s="58" t="s">
        <v>114</v>
      </c>
      <c r="J21" s="59" t="s">
        <v>115</v>
      </c>
      <c r="K21" s="58">
        <v>857</v>
      </c>
      <c r="L21" s="58" t="s">
        <v>116</v>
      </c>
      <c r="M21" s="59" t="s">
        <v>103</v>
      </c>
      <c r="N21" s="59" t="s">
        <v>104</v>
      </c>
      <c r="O21" s="60" t="s">
        <v>105</v>
      </c>
      <c r="P21" s="61" t="s">
        <v>106</v>
      </c>
    </row>
    <row r="22" spans="1:16" ht="12.75" customHeight="1" thickBot="1" x14ac:dyDescent="0.25">
      <c r="A22" s="21" t="str">
        <f t="shared" si="0"/>
        <v>IBVS 5933 </v>
      </c>
      <c r="B22" s="4" t="str">
        <f t="shared" si="1"/>
        <v>II</v>
      </c>
      <c r="C22" s="21">
        <f t="shared" si="2"/>
        <v>54663.444900000002</v>
      </c>
      <c r="D22" s="33" t="str">
        <f t="shared" si="3"/>
        <v>vis</v>
      </c>
      <c r="E22" s="57">
        <f>VLOOKUP(C22,Active!C$21:E$970,3,FALSE)</f>
        <v>1636.4055579720878</v>
      </c>
      <c r="F22" s="4" t="s">
        <v>73</v>
      </c>
      <c r="G22" s="33" t="str">
        <f t="shared" si="4"/>
        <v>54663.4449</v>
      </c>
      <c r="H22" s="21">
        <f t="shared" si="5"/>
        <v>1221.5</v>
      </c>
      <c r="I22" s="58" t="s">
        <v>127</v>
      </c>
      <c r="J22" s="59" t="s">
        <v>128</v>
      </c>
      <c r="K22" s="58">
        <v>1221.5</v>
      </c>
      <c r="L22" s="58" t="s">
        <v>129</v>
      </c>
      <c r="M22" s="59" t="s">
        <v>103</v>
      </c>
      <c r="N22" s="59" t="s">
        <v>126</v>
      </c>
      <c r="O22" s="60" t="s">
        <v>130</v>
      </c>
      <c r="P22" s="61" t="s">
        <v>131</v>
      </c>
    </row>
    <row r="23" spans="1:16" ht="12.75" customHeight="1" thickBot="1" x14ac:dyDescent="0.25">
      <c r="A23" s="21" t="str">
        <f t="shared" si="0"/>
        <v>IBVS 5870 </v>
      </c>
      <c r="B23" s="4" t="str">
        <f t="shared" si="1"/>
        <v>I</v>
      </c>
      <c r="C23" s="21">
        <f t="shared" si="2"/>
        <v>54825.5334</v>
      </c>
      <c r="D23" s="33" t="str">
        <f t="shared" si="3"/>
        <v>vis</v>
      </c>
      <c r="E23" s="57">
        <f>VLOOKUP(C23,Active!C$21:E$970,3,FALSE)</f>
        <v>1727.9937419529736</v>
      </c>
      <c r="F23" s="4" t="s">
        <v>73</v>
      </c>
      <c r="G23" s="33" t="str">
        <f t="shared" si="4"/>
        <v>54825.5334</v>
      </c>
      <c r="H23" s="21">
        <f t="shared" si="5"/>
        <v>1313</v>
      </c>
      <c r="I23" s="58" t="s">
        <v>132</v>
      </c>
      <c r="J23" s="59" t="s">
        <v>133</v>
      </c>
      <c r="K23" s="58">
        <v>1313</v>
      </c>
      <c r="L23" s="58" t="s">
        <v>87</v>
      </c>
      <c r="M23" s="59" t="s">
        <v>103</v>
      </c>
      <c r="N23" s="59" t="s">
        <v>126</v>
      </c>
      <c r="O23" s="60" t="s">
        <v>134</v>
      </c>
      <c r="P23" s="61" t="s">
        <v>135</v>
      </c>
    </row>
    <row r="24" spans="1:16" ht="12.75" customHeight="1" thickBot="1" x14ac:dyDescent="0.25">
      <c r="A24" s="21" t="str">
        <f t="shared" si="0"/>
        <v>IBVS 5920 </v>
      </c>
      <c r="B24" s="4" t="str">
        <f t="shared" si="1"/>
        <v>II</v>
      </c>
      <c r="C24" s="21">
        <f t="shared" si="2"/>
        <v>55153.659</v>
      </c>
      <c r="D24" s="33" t="str">
        <f t="shared" si="3"/>
        <v>vis</v>
      </c>
      <c r="E24" s="57">
        <f>VLOOKUP(C24,Active!C$21:E$970,3,FALSE)</f>
        <v>1913.4012682218872</v>
      </c>
      <c r="F24" s="4" t="s">
        <v>73</v>
      </c>
      <c r="G24" s="33" t="str">
        <f t="shared" si="4"/>
        <v>55153.659</v>
      </c>
      <c r="H24" s="21">
        <f t="shared" si="5"/>
        <v>1498.5</v>
      </c>
      <c r="I24" s="58" t="s">
        <v>136</v>
      </c>
      <c r="J24" s="59" t="s">
        <v>137</v>
      </c>
      <c r="K24" s="58">
        <v>1498.5</v>
      </c>
      <c r="L24" s="58" t="s">
        <v>138</v>
      </c>
      <c r="M24" s="59" t="s">
        <v>103</v>
      </c>
      <c r="N24" s="59" t="s">
        <v>73</v>
      </c>
      <c r="O24" s="60" t="s">
        <v>139</v>
      </c>
      <c r="P24" s="61" t="s">
        <v>140</v>
      </c>
    </row>
    <row r="25" spans="1:16" ht="12.75" customHeight="1" thickBot="1" x14ac:dyDescent="0.25">
      <c r="A25" s="21" t="str">
        <f t="shared" si="0"/>
        <v>IBVS 5974 </v>
      </c>
      <c r="B25" s="4" t="str">
        <f t="shared" si="1"/>
        <v>II</v>
      </c>
      <c r="C25" s="21">
        <f t="shared" si="2"/>
        <v>55491.684999999998</v>
      </c>
      <c r="D25" s="33" t="str">
        <f t="shared" si="3"/>
        <v>vis</v>
      </c>
      <c r="E25" s="57">
        <f>VLOOKUP(C25,Active!C$21:E$970,3,FALSE)</f>
        <v>2104.4030202173903</v>
      </c>
      <c r="F25" s="4" t="s">
        <v>73</v>
      </c>
      <c r="G25" s="33" t="str">
        <f t="shared" si="4"/>
        <v>55491.685</v>
      </c>
      <c r="H25" s="21">
        <f t="shared" si="5"/>
        <v>1689.5</v>
      </c>
      <c r="I25" s="58" t="s">
        <v>141</v>
      </c>
      <c r="J25" s="59" t="s">
        <v>142</v>
      </c>
      <c r="K25" s="58">
        <v>1689.5</v>
      </c>
      <c r="L25" s="58" t="s">
        <v>143</v>
      </c>
      <c r="M25" s="59" t="s">
        <v>103</v>
      </c>
      <c r="N25" s="59" t="s">
        <v>126</v>
      </c>
      <c r="O25" s="60" t="s">
        <v>134</v>
      </c>
      <c r="P25" s="61" t="s">
        <v>144</v>
      </c>
    </row>
    <row r="26" spans="1:16" ht="12.75" customHeight="1" thickBot="1" x14ac:dyDescent="0.25">
      <c r="A26" s="21" t="str">
        <f t="shared" si="0"/>
        <v>IBVS 6011 </v>
      </c>
      <c r="B26" s="4" t="str">
        <f t="shared" si="1"/>
        <v>II</v>
      </c>
      <c r="C26" s="21">
        <f t="shared" si="2"/>
        <v>55843.860999999997</v>
      </c>
      <c r="D26" s="33" t="str">
        <f t="shared" si="3"/>
        <v>vis</v>
      </c>
      <c r="E26" s="57">
        <f>VLOOKUP(C26,Active!C$21:E$970,3,FALSE)</f>
        <v>2303.4002364397179</v>
      </c>
      <c r="F26" s="4" t="s">
        <v>73</v>
      </c>
      <c r="G26" s="33" t="str">
        <f t="shared" si="4"/>
        <v>55843.8610</v>
      </c>
      <c r="H26" s="21">
        <f t="shared" si="5"/>
        <v>1888.5</v>
      </c>
      <c r="I26" s="58" t="s">
        <v>145</v>
      </c>
      <c r="J26" s="59" t="s">
        <v>146</v>
      </c>
      <c r="K26" s="58">
        <v>1888.5</v>
      </c>
      <c r="L26" s="58" t="s">
        <v>147</v>
      </c>
      <c r="M26" s="59" t="s">
        <v>103</v>
      </c>
      <c r="N26" s="59" t="s">
        <v>73</v>
      </c>
      <c r="O26" s="60" t="s">
        <v>139</v>
      </c>
      <c r="P26" s="61" t="s">
        <v>148</v>
      </c>
    </row>
    <row r="27" spans="1:16" ht="12.75" customHeight="1" thickBot="1" x14ac:dyDescent="0.25">
      <c r="A27" s="21" t="str">
        <f t="shared" si="0"/>
        <v>IBVS 6011 </v>
      </c>
      <c r="B27" s="4" t="str">
        <f t="shared" si="1"/>
        <v>I</v>
      </c>
      <c r="C27" s="21">
        <f t="shared" si="2"/>
        <v>55844.905599999998</v>
      </c>
      <c r="D27" s="33" t="str">
        <f t="shared" si="3"/>
        <v>vis</v>
      </c>
      <c r="E27" s="57">
        <f>VLOOKUP(C27,Active!C$21:E$970,3,FALSE)</f>
        <v>2303.9904881663147</v>
      </c>
      <c r="F27" s="4" t="s">
        <v>73</v>
      </c>
      <c r="G27" s="33" t="str">
        <f t="shared" si="4"/>
        <v>55844.9056</v>
      </c>
      <c r="H27" s="21">
        <f t="shared" si="5"/>
        <v>1889</v>
      </c>
      <c r="I27" s="58" t="s">
        <v>149</v>
      </c>
      <c r="J27" s="59" t="s">
        <v>150</v>
      </c>
      <c r="K27" s="58">
        <v>1889</v>
      </c>
      <c r="L27" s="58" t="s">
        <v>151</v>
      </c>
      <c r="M27" s="59" t="s">
        <v>103</v>
      </c>
      <c r="N27" s="59" t="s">
        <v>73</v>
      </c>
      <c r="O27" s="60" t="s">
        <v>139</v>
      </c>
      <c r="P27" s="61" t="s">
        <v>148</v>
      </c>
    </row>
    <row r="28" spans="1:16" ht="12.75" customHeight="1" thickBot="1" x14ac:dyDescent="0.25">
      <c r="A28" s="21" t="str">
        <f t="shared" si="0"/>
        <v>IBVS 6011 </v>
      </c>
      <c r="B28" s="4" t="str">
        <f t="shared" si="1"/>
        <v>II</v>
      </c>
      <c r="C28" s="21">
        <f t="shared" si="2"/>
        <v>55850.9355</v>
      </c>
      <c r="D28" s="33" t="str">
        <f t="shared" si="3"/>
        <v>vis</v>
      </c>
      <c r="E28" s="57">
        <f>VLOOKUP(C28,Active!C$21:E$970,3,FALSE)</f>
        <v>2307.3976860278935</v>
      </c>
      <c r="F28" s="4" t="s">
        <v>73</v>
      </c>
      <c r="G28" s="33" t="str">
        <f t="shared" si="4"/>
        <v>55850.9355</v>
      </c>
      <c r="H28" s="21">
        <f t="shared" si="5"/>
        <v>1892.5</v>
      </c>
      <c r="I28" s="58" t="s">
        <v>152</v>
      </c>
      <c r="J28" s="59" t="s">
        <v>153</v>
      </c>
      <c r="K28" s="58">
        <v>1892.5</v>
      </c>
      <c r="L28" s="58" t="s">
        <v>154</v>
      </c>
      <c r="M28" s="59" t="s">
        <v>103</v>
      </c>
      <c r="N28" s="59" t="s">
        <v>73</v>
      </c>
      <c r="O28" s="60" t="s">
        <v>139</v>
      </c>
      <c r="P28" s="61" t="s">
        <v>148</v>
      </c>
    </row>
    <row r="29" spans="1:16" ht="12.75" customHeight="1" thickBot="1" x14ac:dyDescent="0.25">
      <c r="A29" s="21" t="str">
        <f t="shared" si="0"/>
        <v>IBVS 6042 </v>
      </c>
      <c r="B29" s="4" t="str">
        <f t="shared" si="1"/>
        <v>I</v>
      </c>
      <c r="C29" s="21">
        <f t="shared" si="2"/>
        <v>56230.705800000003</v>
      </c>
      <c r="D29" s="33" t="str">
        <f t="shared" si="3"/>
        <v>vis</v>
      </c>
      <c r="E29" s="57">
        <f>VLOOKUP(C29,Active!C$21:E$970,3,FALSE)</f>
        <v>2521.9870745833859</v>
      </c>
      <c r="F29" s="4" t="s">
        <v>73</v>
      </c>
      <c r="G29" s="33" t="str">
        <f t="shared" si="4"/>
        <v>56230.7058</v>
      </c>
      <c r="H29" s="21">
        <f t="shared" si="5"/>
        <v>2107</v>
      </c>
      <c r="I29" s="58" t="s">
        <v>155</v>
      </c>
      <c r="J29" s="59" t="s">
        <v>156</v>
      </c>
      <c r="K29" s="58">
        <v>2107</v>
      </c>
      <c r="L29" s="58" t="s">
        <v>157</v>
      </c>
      <c r="M29" s="59" t="s">
        <v>103</v>
      </c>
      <c r="N29" s="59" t="s">
        <v>73</v>
      </c>
      <c r="O29" s="60" t="s">
        <v>139</v>
      </c>
      <c r="P29" s="61" t="s">
        <v>158</v>
      </c>
    </row>
    <row r="30" spans="1:16" ht="12.75" customHeight="1" thickBot="1" x14ac:dyDescent="0.25">
      <c r="A30" s="21" t="str">
        <f t="shared" si="0"/>
        <v>IBVS 6093 </v>
      </c>
      <c r="B30" s="4" t="str">
        <f t="shared" si="1"/>
        <v>II</v>
      </c>
      <c r="C30" s="21">
        <f t="shared" si="2"/>
        <v>56530.5196</v>
      </c>
      <c r="D30" s="33" t="str">
        <f t="shared" si="3"/>
        <v>vis</v>
      </c>
      <c r="E30" s="57">
        <f>VLOOKUP(C30,Active!C$21:E$970,3,FALSE)</f>
        <v>2691.3970048030405</v>
      </c>
      <c r="F30" s="4" t="s">
        <v>73</v>
      </c>
      <c r="G30" s="33" t="str">
        <f t="shared" si="4"/>
        <v>56530.5196</v>
      </c>
      <c r="H30" s="21">
        <f t="shared" si="5"/>
        <v>2276.5</v>
      </c>
      <c r="I30" s="58" t="s">
        <v>159</v>
      </c>
      <c r="J30" s="59" t="s">
        <v>160</v>
      </c>
      <c r="K30" s="58">
        <v>2276.5</v>
      </c>
      <c r="L30" s="58" t="s">
        <v>161</v>
      </c>
      <c r="M30" s="59" t="s">
        <v>103</v>
      </c>
      <c r="N30" s="59" t="s">
        <v>73</v>
      </c>
      <c r="O30" s="60" t="s">
        <v>139</v>
      </c>
      <c r="P30" s="61" t="s">
        <v>162</v>
      </c>
    </row>
    <row r="31" spans="1:16" ht="12.75" customHeight="1" thickBot="1" x14ac:dyDescent="0.25">
      <c r="A31" s="21" t="str">
        <f t="shared" si="0"/>
        <v>BAVM 234 </v>
      </c>
      <c r="B31" s="4" t="str">
        <f t="shared" si="1"/>
        <v>II</v>
      </c>
      <c r="C31" s="21">
        <f t="shared" si="2"/>
        <v>56585.380400000002</v>
      </c>
      <c r="D31" s="33" t="str">
        <f t="shared" si="3"/>
        <v>vis</v>
      </c>
      <c r="E31" s="57">
        <f>VLOOKUP(C31,Active!C$21:E$970,3,FALSE)</f>
        <v>2722.3961259235321</v>
      </c>
      <c r="F31" s="4" t="s">
        <v>73</v>
      </c>
      <c r="G31" s="33" t="str">
        <f t="shared" si="4"/>
        <v>56585.3804</v>
      </c>
      <c r="H31" s="21">
        <f t="shared" si="5"/>
        <v>2307.5</v>
      </c>
      <c r="I31" s="58" t="s">
        <v>163</v>
      </c>
      <c r="J31" s="59" t="s">
        <v>164</v>
      </c>
      <c r="K31" s="58">
        <v>2307.5</v>
      </c>
      <c r="L31" s="58" t="s">
        <v>165</v>
      </c>
      <c r="M31" s="59" t="s">
        <v>103</v>
      </c>
      <c r="N31" s="59" t="s">
        <v>166</v>
      </c>
      <c r="O31" s="60" t="s">
        <v>167</v>
      </c>
      <c r="P31" s="61" t="s">
        <v>168</v>
      </c>
    </row>
    <row r="32" spans="1:16" ht="12.75" customHeight="1" thickBot="1" x14ac:dyDescent="0.25">
      <c r="A32" s="21" t="str">
        <f t="shared" si="0"/>
        <v>BAVM 239 </v>
      </c>
      <c r="B32" s="4" t="str">
        <f t="shared" si="1"/>
        <v>I</v>
      </c>
      <c r="C32" s="21">
        <f t="shared" si="2"/>
        <v>56908.516300000003</v>
      </c>
      <c r="D32" s="33" t="str">
        <f t="shared" si="3"/>
        <v>vis</v>
      </c>
      <c r="E32" s="57">
        <f>VLOOKUP(C32,Active!C$21:E$970,3,FALSE)</f>
        <v>2904.984219835374</v>
      </c>
      <c r="F32" s="4" t="s">
        <v>73</v>
      </c>
      <c r="G32" s="33" t="str">
        <f t="shared" si="4"/>
        <v>56908.5163</v>
      </c>
      <c r="H32" s="21">
        <f t="shared" si="5"/>
        <v>2490</v>
      </c>
      <c r="I32" s="58" t="s">
        <v>169</v>
      </c>
      <c r="J32" s="59" t="s">
        <v>170</v>
      </c>
      <c r="K32" s="58" t="s">
        <v>171</v>
      </c>
      <c r="L32" s="58" t="s">
        <v>172</v>
      </c>
      <c r="M32" s="59" t="s">
        <v>103</v>
      </c>
      <c r="N32" s="59" t="s">
        <v>166</v>
      </c>
      <c r="O32" s="60" t="s">
        <v>167</v>
      </c>
      <c r="P32" s="61" t="s">
        <v>173</v>
      </c>
    </row>
    <row r="33" spans="1:16" ht="12.75" customHeight="1" thickBot="1" x14ac:dyDescent="0.25">
      <c r="A33" s="21" t="str">
        <f t="shared" si="0"/>
        <v>OEJV 0094 </v>
      </c>
      <c r="B33" s="4" t="str">
        <f t="shared" si="1"/>
        <v>I</v>
      </c>
      <c r="C33" s="21">
        <f t="shared" si="2"/>
        <v>54080.470999999998</v>
      </c>
      <c r="D33" s="33" t="str">
        <f t="shared" si="3"/>
        <v>vis</v>
      </c>
      <c r="E33" s="57" t="e">
        <f>VLOOKUP(C33,Active!C$21:E$970,3,FALSE)</f>
        <v>#N/A</v>
      </c>
      <c r="F33" s="4" t="s">
        <v>73</v>
      </c>
      <c r="G33" s="33" t="str">
        <f t="shared" si="4"/>
        <v>54080.4710</v>
      </c>
      <c r="H33" s="21">
        <f t="shared" si="5"/>
        <v>892</v>
      </c>
      <c r="I33" s="58" t="s">
        <v>117</v>
      </c>
      <c r="J33" s="59" t="s">
        <v>118</v>
      </c>
      <c r="K33" s="58">
        <v>892</v>
      </c>
      <c r="L33" s="58" t="s">
        <v>119</v>
      </c>
      <c r="M33" s="59" t="s">
        <v>103</v>
      </c>
      <c r="N33" s="59" t="s">
        <v>73</v>
      </c>
      <c r="O33" s="60" t="s">
        <v>113</v>
      </c>
      <c r="P33" s="61" t="s">
        <v>120</v>
      </c>
    </row>
    <row r="34" spans="1:16" ht="12.75" customHeight="1" thickBot="1" x14ac:dyDescent="0.25">
      <c r="A34" s="21" t="str">
        <f t="shared" si="0"/>
        <v>OEJV 0094 </v>
      </c>
      <c r="B34" s="4" t="str">
        <f t="shared" si="1"/>
        <v>I</v>
      </c>
      <c r="C34" s="21">
        <f t="shared" si="2"/>
        <v>54080.4715</v>
      </c>
      <c r="D34" s="33" t="str">
        <f t="shared" si="3"/>
        <v>vis</v>
      </c>
      <c r="E34" s="57" t="e">
        <f>VLOOKUP(C34,Active!C$21:E$970,3,FALSE)</f>
        <v>#N/A</v>
      </c>
      <c r="F34" s="4" t="s">
        <v>73</v>
      </c>
      <c r="G34" s="33" t="str">
        <f t="shared" si="4"/>
        <v>54080.4715</v>
      </c>
      <c r="H34" s="21">
        <f t="shared" si="5"/>
        <v>892</v>
      </c>
      <c r="I34" s="58" t="s">
        <v>121</v>
      </c>
      <c r="J34" s="59" t="s">
        <v>118</v>
      </c>
      <c r="K34" s="58">
        <v>892</v>
      </c>
      <c r="L34" s="58" t="s">
        <v>122</v>
      </c>
      <c r="M34" s="59" t="s">
        <v>103</v>
      </c>
      <c r="N34" s="59" t="s">
        <v>104</v>
      </c>
      <c r="O34" s="60" t="s">
        <v>113</v>
      </c>
      <c r="P34" s="61" t="s">
        <v>120</v>
      </c>
    </row>
    <row r="35" spans="1:16" ht="12.75" customHeight="1" thickBot="1" x14ac:dyDescent="0.25">
      <c r="A35" s="21" t="str">
        <f t="shared" si="0"/>
        <v>OEJV 0094 </v>
      </c>
      <c r="B35" s="4" t="str">
        <f t="shared" si="1"/>
        <v>I</v>
      </c>
      <c r="C35" s="21">
        <f t="shared" si="2"/>
        <v>54080.471599999997</v>
      </c>
      <c r="D35" s="33" t="str">
        <f t="shared" si="3"/>
        <v>vis</v>
      </c>
      <c r="E35" s="57" t="e">
        <f>VLOOKUP(C35,Active!C$21:E$970,3,FALSE)</f>
        <v>#N/A</v>
      </c>
      <c r="F35" s="4" t="s">
        <v>73</v>
      </c>
      <c r="G35" s="33" t="str">
        <f t="shared" si="4"/>
        <v>54080.4716</v>
      </c>
      <c r="H35" s="21">
        <f t="shared" si="5"/>
        <v>892</v>
      </c>
      <c r="I35" s="58" t="s">
        <v>123</v>
      </c>
      <c r="J35" s="59" t="s">
        <v>124</v>
      </c>
      <c r="K35" s="58">
        <v>892</v>
      </c>
      <c r="L35" s="58" t="s">
        <v>125</v>
      </c>
      <c r="M35" s="59" t="s">
        <v>103</v>
      </c>
      <c r="N35" s="59" t="s">
        <v>126</v>
      </c>
      <c r="O35" s="60" t="s">
        <v>113</v>
      </c>
      <c r="P35" s="61" t="s">
        <v>120</v>
      </c>
    </row>
    <row r="36" spans="1:16" x14ac:dyDescent="0.2">
      <c r="B36" s="4"/>
      <c r="F36" s="4"/>
    </row>
    <row r="37" spans="1:16" x14ac:dyDescent="0.2">
      <c r="B37" s="4"/>
      <c r="F37" s="4"/>
    </row>
    <row r="38" spans="1:16" x14ac:dyDescent="0.2">
      <c r="B38" s="4"/>
      <c r="F38" s="4"/>
    </row>
    <row r="39" spans="1:16" x14ac:dyDescent="0.2">
      <c r="B39" s="4"/>
      <c r="F39" s="4"/>
    </row>
    <row r="40" spans="1:16" x14ac:dyDescent="0.2">
      <c r="B40" s="4"/>
      <c r="F40" s="4"/>
    </row>
    <row r="41" spans="1:16" x14ac:dyDescent="0.2">
      <c r="B41" s="4"/>
      <c r="F41" s="4"/>
    </row>
    <row r="42" spans="1:16" x14ac:dyDescent="0.2">
      <c r="B42" s="4"/>
      <c r="F42" s="4"/>
    </row>
    <row r="43" spans="1:16" x14ac:dyDescent="0.2">
      <c r="B43" s="4"/>
      <c r="F43" s="4"/>
    </row>
    <row r="44" spans="1:16" x14ac:dyDescent="0.2">
      <c r="B44" s="4"/>
      <c r="F44" s="4"/>
    </row>
    <row r="45" spans="1:16" x14ac:dyDescent="0.2">
      <c r="B45" s="4"/>
      <c r="F45" s="4"/>
    </row>
    <row r="46" spans="1:16" x14ac:dyDescent="0.2">
      <c r="B46" s="4"/>
      <c r="F46" s="4"/>
    </row>
    <row r="47" spans="1:16" x14ac:dyDescent="0.2">
      <c r="B47" s="4"/>
      <c r="F47" s="4"/>
    </row>
    <row r="48" spans="1:1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</sheetData>
  <phoneticPr fontId="8" type="noConversion"/>
  <hyperlinks>
    <hyperlink ref="P11" r:id="rId1" display="http://www.konkoly.hu/cgi-bin/IBVS?5386" xr:uid="{00000000-0004-0000-0100-000000000000}"/>
    <hyperlink ref="P12" r:id="rId2" display="http://www.konkoly.hu/cgi-bin/IBVS?5386" xr:uid="{00000000-0004-0000-0100-000001000000}"/>
    <hyperlink ref="P13" r:id="rId3" display="http://www.konkoly.hu/cgi-bin/IBVS?5386" xr:uid="{00000000-0004-0000-0100-000002000000}"/>
    <hyperlink ref="P14" r:id="rId4" display="http://www.konkoly.hu/cgi-bin/IBVS?5386" xr:uid="{00000000-0004-0000-0100-000003000000}"/>
    <hyperlink ref="P15" r:id="rId5" display="http://www.konkoly.hu/cgi-bin/IBVS?5386" xr:uid="{00000000-0004-0000-0100-000004000000}"/>
    <hyperlink ref="P16" r:id="rId6" display="http://www.konkoly.hu/cgi-bin/IBVS?5386" xr:uid="{00000000-0004-0000-0100-000005000000}"/>
    <hyperlink ref="P17" r:id="rId7" display="http://www.konkoly.hu/cgi-bin/IBVS?5386" xr:uid="{00000000-0004-0000-0100-000006000000}"/>
    <hyperlink ref="P18" r:id="rId8" display="http://var.astro.cz/oejv/issues/oejv0074.pdf" xr:uid="{00000000-0004-0000-0100-000007000000}"/>
    <hyperlink ref="P19" r:id="rId9" display="http://var.astro.cz/oejv/issues/oejv0074.pdf" xr:uid="{00000000-0004-0000-0100-000008000000}"/>
    <hyperlink ref="P20" r:id="rId10" display="http://var.astro.cz/oejv/issues/oejv0074.pdf" xr:uid="{00000000-0004-0000-0100-000009000000}"/>
    <hyperlink ref="P21" r:id="rId11" display="http://var.astro.cz/oejv/issues/oejv0074.pdf" xr:uid="{00000000-0004-0000-0100-00000A000000}"/>
    <hyperlink ref="P33" r:id="rId12" display="http://var.astro.cz/oejv/issues/oejv0094.pdf" xr:uid="{00000000-0004-0000-0100-00000B000000}"/>
    <hyperlink ref="P34" r:id="rId13" display="http://var.astro.cz/oejv/issues/oejv0094.pdf" xr:uid="{00000000-0004-0000-0100-00000C000000}"/>
    <hyperlink ref="P35" r:id="rId14" display="http://var.astro.cz/oejv/issues/oejv0094.pdf" xr:uid="{00000000-0004-0000-0100-00000D000000}"/>
    <hyperlink ref="P22" r:id="rId15" display="http://www.konkoly.hu/cgi-bin/IBVS?5933" xr:uid="{00000000-0004-0000-0100-00000E000000}"/>
    <hyperlink ref="P23" r:id="rId16" display="http://www.konkoly.hu/cgi-bin/IBVS?5870" xr:uid="{00000000-0004-0000-0100-00000F000000}"/>
    <hyperlink ref="P24" r:id="rId17" display="http://www.konkoly.hu/cgi-bin/IBVS?5920" xr:uid="{00000000-0004-0000-0100-000010000000}"/>
    <hyperlink ref="P25" r:id="rId18" display="http://www.konkoly.hu/cgi-bin/IBVS?5974" xr:uid="{00000000-0004-0000-0100-000011000000}"/>
    <hyperlink ref="P26" r:id="rId19" display="http://www.konkoly.hu/cgi-bin/IBVS?6011" xr:uid="{00000000-0004-0000-0100-000012000000}"/>
    <hyperlink ref="P27" r:id="rId20" display="http://www.konkoly.hu/cgi-bin/IBVS?6011" xr:uid="{00000000-0004-0000-0100-000013000000}"/>
    <hyperlink ref="P28" r:id="rId21" display="http://www.konkoly.hu/cgi-bin/IBVS?6011" xr:uid="{00000000-0004-0000-0100-000014000000}"/>
    <hyperlink ref="P29" r:id="rId22" display="http://www.konkoly.hu/cgi-bin/IBVS?6042" xr:uid="{00000000-0004-0000-0100-000015000000}"/>
    <hyperlink ref="P30" r:id="rId23" display="http://www.konkoly.hu/cgi-bin/IBVS?6093" xr:uid="{00000000-0004-0000-0100-000016000000}"/>
    <hyperlink ref="P31" r:id="rId24" display="http://www.bav-astro.de/sfs/BAVM_link.php?BAVMnr=234" xr:uid="{00000000-0004-0000-0100-000017000000}"/>
    <hyperlink ref="P32" r:id="rId25" display="http://www.bav-astro.de/sfs/BAVM_link.php?BAVMnr=239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2023-08-14T02:19:33Z</dcterms:modified>
</cp:coreProperties>
</file>