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DE3CEA1-5700-4A99-8FBD-B899CA1AA202}" xr6:coauthVersionLast="47" xr6:coauthVersionMax="47" xr10:uidLastSave="{00000000-0000-0000-0000-000000000000}"/>
  <bookViews>
    <workbookView xWindow="14535" yWindow="330" windowWidth="13470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S39" i="1" s="1"/>
  <c r="Q39" i="1"/>
  <c r="C7" i="1"/>
  <c r="E24" i="1"/>
  <c r="C8" i="1"/>
  <c r="E23" i="1"/>
  <c r="F23" i="1"/>
  <c r="G23" i="1"/>
  <c r="H23" i="1"/>
  <c r="E25" i="1"/>
  <c r="F25" i="1"/>
  <c r="G25" i="1"/>
  <c r="H25" i="1"/>
  <c r="E26" i="1"/>
  <c r="F26" i="1"/>
  <c r="E28" i="1"/>
  <c r="F28" i="1"/>
  <c r="G28" i="1"/>
  <c r="H28" i="1"/>
  <c r="E29" i="1"/>
  <c r="F29" i="1"/>
  <c r="E31" i="1"/>
  <c r="F31" i="1"/>
  <c r="G31" i="1"/>
  <c r="H31" i="1"/>
  <c r="E32" i="1"/>
  <c r="F32" i="1"/>
  <c r="G32" i="1"/>
  <c r="H32" i="1"/>
  <c r="E33" i="1"/>
  <c r="F33" i="1"/>
  <c r="G33" i="1"/>
  <c r="I33" i="1"/>
  <c r="E37" i="1"/>
  <c r="F37" i="1"/>
  <c r="G37" i="1"/>
  <c r="K37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7" i="1"/>
  <c r="G13" i="2"/>
  <c r="C13" i="2"/>
  <c r="G27" i="2"/>
  <c r="C27" i="2"/>
  <c r="E27" i="2"/>
  <c r="C21" i="1"/>
  <c r="G12" i="2"/>
  <c r="C12" i="2"/>
  <c r="E12" i="2"/>
  <c r="G11" i="2"/>
  <c r="C11" i="2"/>
  <c r="E11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G21" i="2"/>
  <c r="C21" i="2"/>
  <c r="E21" i="2"/>
  <c r="G20" i="2"/>
  <c r="C20" i="2"/>
  <c r="E20" i="2"/>
  <c r="G19" i="2"/>
  <c r="C19" i="2"/>
  <c r="G18" i="2"/>
  <c r="C18" i="2"/>
  <c r="E18" i="2"/>
  <c r="G17" i="2"/>
  <c r="C17" i="2"/>
  <c r="E17" i="2"/>
  <c r="G16" i="2"/>
  <c r="C16" i="2"/>
  <c r="G15" i="2"/>
  <c r="C15" i="2"/>
  <c r="E15" i="2"/>
  <c r="G14" i="2"/>
  <c r="C14" i="2"/>
  <c r="H13" i="2"/>
  <c r="B13" i="2"/>
  <c r="D13" i="2"/>
  <c r="A13" i="2"/>
  <c r="H27" i="2"/>
  <c r="D27" i="2"/>
  <c r="B27" i="2"/>
  <c r="A27" i="2"/>
  <c r="H12" i="2"/>
  <c r="B12" i="2"/>
  <c r="D12" i="2"/>
  <c r="A12" i="2"/>
  <c r="H11" i="2"/>
  <c r="D11" i="2"/>
  <c r="B11" i="2"/>
  <c r="A11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Q38" i="1"/>
  <c r="E38" i="1"/>
  <c r="F38" i="1"/>
  <c r="G38" i="1"/>
  <c r="K38" i="1"/>
  <c r="E36" i="1"/>
  <c r="F36" i="1"/>
  <c r="G36" i="1"/>
  <c r="J36" i="1"/>
  <c r="E34" i="1"/>
  <c r="F34" i="1"/>
  <c r="G34" i="1"/>
  <c r="K34" i="1"/>
  <c r="E35" i="1"/>
  <c r="F35" i="1"/>
  <c r="G35" i="1"/>
  <c r="I35" i="1"/>
  <c r="Q36" i="1"/>
  <c r="Q34" i="1"/>
  <c r="Q35" i="1"/>
  <c r="F16" i="1"/>
  <c r="E13" i="2"/>
  <c r="E21" i="1"/>
  <c r="F21" i="1"/>
  <c r="G21" i="1"/>
  <c r="H21" i="1"/>
  <c r="Q21" i="1"/>
  <c r="C17" i="1"/>
  <c r="F24" i="1"/>
  <c r="E16" i="2"/>
  <c r="E30" i="1"/>
  <c r="F30" i="1"/>
  <c r="G30" i="1"/>
  <c r="H30" i="1"/>
  <c r="G29" i="1"/>
  <c r="H29" i="1"/>
  <c r="E27" i="1"/>
  <c r="F27" i="1"/>
  <c r="G27" i="1"/>
  <c r="H27" i="1"/>
  <c r="E22" i="1"/>
  <c r="F22" i="1"/>
  <c r="G22" i="1"/>
  <c r="H22" i="1"/>
  <c r="G26" i="1"/>
  <c r="H26" i="1"/>
  <c r="G24" i="1"/>
  <c r="H24" i="1"/>
  <c r="E22" i="2"/>
  <c r="E14" i="2"/>
  <c r="E19" i="2"/>
  <c r="C12" i="1"/>
  <c r="C11" i="1"/>
  <c r="O39" i="1" l="1"/>
  <c r="O38" i="1"/>
  <c r="O35" i="1"/>
  <c r="O31" i="1"/>
  <c r="C15" i="1"/>
  <c r="O33" i="1"/>
  <c r="O25" i="1"/>
  <c r="O29" i="1"/>
  <c r="O22" i="1"/>
  <c r="O23" i="1"/>
  <c r="O34" i="1"/>
  <c r="O24" i="1"/>
  <c r="O26" i="1"/>
  <c r="O37" i="1"/>
  <c r="O27" i="1"/>
  <c r="O36" i="1"/>
  <c r="O32" i="1"/>
  <c r="O21" i="1"/>
  <c r="O30" i="1"/>
  <c r="O28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<sst xmlns="http://schemas.openxmlformats.org/spreadsheetml/2006/main" count="236" uniqueCount="129">
  <si>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</si>
  <si>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</si>
  <si>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</si>
  <si>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</si>
  <si>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</si>
  <si>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</si>
  <si>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</si>
  <si>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</si>
  <si>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</si>
  <si>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</si>
  <si>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</si>
  <si>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</si>
  <si>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</si>
  <si>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</si>
  <si>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</si>
  <si>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</si>
  <si>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</si>
  <si>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</si>
  <si>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</si>
  <si>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</si>
  <si>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</si>
  <si>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</si>
  <si>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</si>
  <si>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</si>
  <si>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</si>
  <si>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</si>
  <si>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</si>
  <si>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</si>
  <si>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</si>
  <si>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</si>
  <si>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</si>
  <si>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</si>
  <si>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</si>
  <si>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</si>
  <si>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</si>
  <si>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</si>
  <si>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</si>
  <si>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BU Cep / GSC 4272-0809</t>
  </si>
  <si>
    <t>EA</t>
  </si>
  <si>
    <t>I</t>
  </si>
  <si>
    <t>IBVS 6010</t>
  </si>
  <si>
    <t>II</t>
  </si>
  <si>
    <t>OEJV 0137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</si>
  <si>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</si>
  <si>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</si>
  <si>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</si>
  <si>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</si>
  <si>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</si>
  <si>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</si>
  <si>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</si>
  <si>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</si>
  <si>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</si>
  <si>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</si>
  <si>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</si>
  <si>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</si>
  <si>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2426821.398 </t>
  </si>
  <si>
    <t> 23.04.1932 21:33 </t>
  </si>
  <si>
    <t> 0.018 </t>
  </si>
  <si>
    <t>P </t>
  </si>
  <si>
    <t> C.Hoffmeister </t>
  </si>
  <si>
    <t> KVBB 24.114 </t>
  </si>
  <si>
    <t>2427531.423 </t>
  </si>
  <si>
    <t> 03.04.1934 22:09 </t>
  </si>
  <si>
    <t> 0.020 </t>
  </si>
  <si>
    <t>2427572.391 </t>
  </si>
  <si>
    <t> 14.05.1934 21:23 </t>
  </si>
  <si>
    <t> -0.029 </t>
  </si>
  <si>
    <t>2427746.361 </t>
  </si>
  <si>
    <t> 04.11.1934 20:39 </t>
  </si>
  <si>
    <t>2428268.346 </t>
  </si>
  <si>
    <t> 09.04.1936 20:18 </t>
  </si>
  <si>
    <t> 0.047 </t>
  </si>
  <si>
    <t>2429108.451 </t>
  </si>
  <si>
    <t> 28.07.1938 22:49 </t>
  </si>
  <si>
    <t> 0.006 </t>
  </si>
  <si>
    <t>V </t>
  </si>
  <si>
    <t>2429115.509 </t>
  </si>
  <si>
    <t> 05.08.1938 00:12 </t>
  </si>
  <si>
    <t> -0.008 </t>
  </si>
  <si>
    <t>2429135.311 </t>
  </si>
  <si>
    <t> 24.08.1938 19:27 </t>
  </si>
  <si>
    <t>2429159.370 </t>
  </si>
  <si>
    <t> 17.09.1938 20:52 </t>
  </si>
  <si>
    <t> 0.007 </t>
  </si>
  <si>
    <t>2429169.252 </t>
  </si>
  <si>
    <t> 27.09.1938 18:02 </t>
  </si>
  <si>
    <t> -0.012 </t>
  </si>
  <si>
    <t>2429193.326 </t>
  </si>
  <si>
    <t> 21.10.1938 19:49 </t>
  </si>
  <si>
    <t> 0.017 </t>
  </si>
  <si>
    <t>2454385.3590 </t>
  </si>
  <si>
    <t> 11.10.2007 20:36 </t>
  </si>
  <si>
    <t> 0.3857 </t>
  </si>
  <si>
    <t>C </t>
  </si>
  <si>
    <t>-I</t>
  </si>
  <si>
    <t> F.Agerer </t>
  </si>
  <si>
    <t>BAVM 193 </t>
  </si>
  <si>
    <t>2455063.5506 </t>
  </si>
  <si>
    <t> 20.08.2009 01:12 </t>
  </si>
  <si>
    <t>19968</t>
  </si>
  <si>
    <t> -0.3290 </t>
  </si>
  <si>
    <t> J.,Trnka </t>
  </si>
  <si>
    <t>OEJV 0137 </t>
  </si>
  <si>
    <t>2455083.346 </t>
  </si>
  <si>
    <t> 08.09.2009 20:18 </t>
  </si>
  <si>
    <t>19982</t>
  </si>
  <si>
    <t> -0.335 </t>
  </si>
  <si>
    <t>o</t>
  </si>
  <si>
    <t> A.Paschke </t>
  </si>
  <si>
    <t>OEJV 0116 </t>
  </si>
  <si>
    <t>2455645.5569 </t>
  </si>
  <si>
    <t> 25.03.2011 01:21 </t>
  </si>
  <si>
    <t>20379</t>
  </si>
  <si>
    <t> 0.3638 </t>
  </si>
  <si>
    <t>BAVM 220 </t>
  </si>
  <si>
    <t>2455807.4984 </t>
  </si>
  <si>
    <t> 02.09.2011 23:57 </t>
  </si>
  <si>
    <t>20494</t>
  </si>
  <si>
    <t> -0.3493 </t>
  </si>
  <si>
    <t>BAVM 225 </t>
  </si>
  <si>
    <t>2455894.4804 </t>
  </si>
  <si>
    <t> 28.11.2011 23:31 </t>
  </si>
  <si>
    <t>20555</t>
  </si>
  <si>
    <t> 0.3551 </t>
  </si>
  <si>
    <t> M.Moudra </t>
  </si>
  <si>
    <t>OEJV 0160 </t>
  </si>
  <si>
    <t>OEJV 0116</t>
  </si>
  <si>
    <t>JBAV, 76</t>
  </si>
  <si>
    <t>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</si>
</sst>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2" formatCode="0.000"/>
    <numFmt numFmtId="178" formatCode="0.0000"/>
    <numFmt numFmtId="179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1" xfId="0" applyFont="1" applyBorder="1" applyAlignment="1">
      <alignment vertical="center"/>
    </xf>
    <xf numFmtId="0" fontId="16" fillId="0" borderId="0" xfId="0" applyFo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172" fontId="6" fillId="0" borderId="0" xfId="0" applyNumberFormat="1" applyFont="1" applyFill="1" applyBorder="1" applyAlignment="1" applyProtection="1">
      <alignment horizontal="left"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8" fontId="0" fillId="0" borderId="0" xfId="0" applyNumberFormat="1" applyAlignment="1">
      <alignment horizontal="left"/>
    </xf>
    <xf numFmtId="179" fontId="6" fillId="0" borderId="0" xfId="0" applyNumberFormat="1" applyFont="1" applyAlignment="1">
      <alignment horizontal="left"/>
    </xf>
    <xf numFmtId="179" fontId="19" fillId="0" borderId="0" xfId="0" applyNumberFormat="1" applyFont="1" applyAlignment="1">
      <alignment horizontal="left"/>
    </xf>
    <xf numFmtId="179" fontId="6" fillId="0" borderId="0" xfId="0" applyNumberFormat="1" applyFont="1" applyAlignment="1">
      <alignment horizontal="left" vertical="center"/>
    </xf>
    <xf numFmtId="179" fontId="6" fillId="0" borderId="0" xfId="0" applyNumberFormat="1" applyFont="1" applyFill="1" applyBorder="1" applyAlignment="1" applyProtection="1">
      <alignment horizontal="left" vertical="top"/>
    </xf>
    <xf numFmtId="179" fontId="16" fillId="0" borderId="0" xfId="0" applyNumberFormat="1" applyFont="1" applyAlignment="1">
      <alignment horizontal="left"/>
    </xf>
    <xf numFmtId="179" fontId="20" fillId="0" borderId="0" xfId="0" applyNumberFormat="1" applyFont="1" applyAlignment="1" applyProtection="1">
      <alignment horizontal="left" vertical="center" wrapText="1"/>
      <protection locked="0"/>
    </xf>
    <xf numFmtId="179" fontId="0" fillId="0" borderId="0" xfId="0" applyNumberFormat="1" applyAlignment="1">
      <alignment horizontal="left"/>
    </xf>
    <xf numFmtId="0" fontId="4" fillId="0" borderId="0" xfId="0" applyFont="1" applyFill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cep - O-C Diagr.</a:t>
            </a:r>
          </a:p>
        </c:rich>
      </c:tx>
      <c:layout>
        <c:manualLayout>
          <c:xMode val="edge"/>
          <c:yMode val="edge"/>
          <c:x val="0.364452423698384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9856373429084"/>
          <c:y val="0.14035127795846455"/>
          <c:w val="0.7899461400359066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1.8000000000029104E-2</c:v>
                </c:pt>
                <c:pt idx="2">
                  <c:v>2.0223999996233033E-2</c:v>
                </c:pt>
                <c:pt idx="3">
                  <c:v>-2.9028000000835164E-2</c:v>
                </c:pt>
                <c:pt idx="4">
                  <c:v>-2.8752000001986744E-2</c:v>
                </c:pt>
                <c:pt idx="5">
                  <c:v>4.707599999892409E-2</c:v>
                </c:pt>
                <c:pt idx="6">
                  <c:v>5.6039999981294386E-3</c:v>
                </c:pt>
                <c:pt idx="7">
                  <c:v>-8.3360000026004855E-3</c:v>
                </c:pt>
                <c:pt idx="8">
                  <c:v>-7.7679999994870741E-3</c:v>
                </c:pt>
                <c:pt idx="9">
                  <c:v>6.6359999982523732E-3</c:v>
                </c:pt>
                <c:pt idx="10">
                  <c:v>-1.2080000000423752E-2</c:v>
                </c:pt>
                <c:pt idx="11">
                  <c:v>1.7324000000371598E-2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CC-4B2E-8716-EBD4252DA7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2">
                  <c:v>-0.32153800000378396</c:v>
                </c:pt>
                <c:pt idx="14">
                  <c:v>-0.33501600000454346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CC-4B2E-8716-EBD4252DA7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5">
                  <c:v>-0.34334600000147475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CC-4B2E-8716-EBD4252DA7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3">
                  <c:v>-0.32897400000365451</c:v>
                </c:pt>
                <c:pt idx="16">
                  <c:v>-0.34927200000674929</c:v>
                </c:pt>
                <c:pt idx="17">
                  <c:v>-0.35213400000066031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CC-4B2E-8716-EBD4252DA7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CC-4B2E-8716-EBD4252DA7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CC-4B2E-8716-EBD4252DA7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CC-4B2E-8716-EBD4252DA7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7.3971012739274117E-3</c:v>
                </c:pt>
                <c:pt idx="1">
                  <c:v>7.3971012739274117E-3</c:v>
                </c:pt>
                <c:pt idx="2">
                  <c:v>1.3630129144875562E-3</c:v>
                </c:pt>
                <c:pt idx="3">
                  <c:v>1.0144301208147351E-3</c:v>
                </c:pt>
                <c:pt idx="4">
                  <c:v>-4.6404172821136458E-4</c:v>
                </c:pt>
                <c:pt idx="5">
                  <c:v>-4.8994572752896655E-3</c:v>
                </c:pt>
                <c:pt idx="6">
                  <c:v>-1.2039394497415711E-2</c:v>
                </c:pt>
                <c:pt idx="7">
                  <c:v>-1.2099494979083438E-2</c:v>
                </c:pt>
                <c:pt idx="8">
                  <c:v>-1.2267776327753076E-2</c:v>
                </c:pt>
                <c:pt idx="9">
                  <c:v>-1.247211796542335E-2</c:v>
                </c:pt>
                <c:pt idx="10">
                  <c:v>-1.2556258639758167E-2</c:v>
                </c:pt>
                <c:pt idx="11">
                  <c:v>-1.2760600277428442E-2</c:v>
                </c:pt>
                <c:pt idx="12">
                  <c:v>-0.22685654612237466</c:v>
                </c:pt>
                <c:pt idx="13">
                  <c:v>-0.2326201823143097</c:v>
                </c:pt>
                <c:pt idx="14">
                  <c:v>-0.23278846366297934</c:v>
                </c:pt>
                <c:pt idx="15">
                  <c:v>-0.2375664519555637</c:v>
                </c:pt>
                <c:pt idx="16">
                  <c:v>-0.23894275298575468</c:v>
                </c:pt>
                <c:pt idx="17">
                  <c:v>-0.23968198891026771</c:v>
                </c:pt>
                <c:pt idx="18">
                  <c:v>-0.27325411796986038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CC-4B2E-8716-EBD4252DA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23384"/>
        <c:axId val="1"/>
      </c:scatterChart>
      <c:valAx>
        <c:axId val="536423384"/>
        <c:scaling>
          <c:orientation val="minMax"/>
          <c:max val="24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2369838420107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3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599640933572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423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2818671454219"/>
          <c:y val="0.92397937099967764"/>
          <c:w val="0.7504488330341112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cep - O-C Diagr.</a:t>
            </a:r>
          </a:p>
        </c:rich>
      </c:tx>
      <c:layout>
        <c:manualLayout>
          <c:xMode val="edge"/>
          <c:yMode val="edge"/>
          <c:x val="0.36379984759969519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6942653979498"/>
          <c:y val="0.13994189017784567"/>
          <c:w val="0.80107667079110456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1.8000000000029104E-2</c:v>
                </c:pt>
                <c:pt idx="2">
                  <c:v>2.0223999996233033E-2</c:v>
                </c:pt>
                <c:pt idx="3">
                  <c:v>-2.9028000000835164E-2</c:v>
                </c:pt>
                <c:pt idx="4">
                  <c:v>-2.8752000001986744E-2</c:v>
                </c:pt>
                <c:pt idx="5">
                  <c:v>4.707599999892409E-2</c:v>
                </c:pt>
                <c:pt idx="6">
                  <c:v>5.6039999981294386E-3</c:v>
                </c:pt>
                <c:pt idx="7">
                  <c:v>-8.3360000026004855E-3</c:v>
                </c:pt>
                <c:pt idx="8">
                  <c:v>-7.7679999994870741E-3</c:v>
                </c:pt>
                <c:pt idx="9">
                  <c:v>6.6359999982523732E-3</c:v>
                </c:pt>
                <c:pt idx="10">
                  <c:v>-1.2080000000423752E-2</c:v>
                </c:pt>
                <c:pt idx="11">
                  <c:v>1.7324000000371598E-2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21-4EF0-99B8-F27C27188A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2">
                  <c:v>-0.32153800000378396</c:v>
                </c:pt>
                <c:pt idx="14">
                  <c:v>-0.33501600000454346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21-4EF0-99B8-F27C27188A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5">
                  <c:v>-0.34334600000147475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21-4EF0-99B8-F27C27188A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3">
                  <c:v>-0.32897400000365451</c:v>
                </c:pt>
                <c:pt idx="16">
                  <c:v>-0.34927200000674929</c:v>
                </c:pt>
                <c:pt idx="17">
                  <c:v>-0.35213400000066031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21-4EF0-99B8-F27C27188A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21-4EF0-99B8-F27C27188A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21-4EF0-99B8-F27C27188A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5.9999999999999995E-4</c:v>
                  </c:pt>
                  <c:pt idx="14">
                    <c:v>2E-3</c:v>
                  </c:pt>
                  <c:pt idx="15">
                    <c:v>8.8000000000000005E-3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21-4EF0-99B8-F27C27188A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502</c:v>
                </c:pt>
                <c:pt idx="3">
                  <c:v>531</c:v>
                </c:pt>
                <c:pt idx="4">
                  <c:v>654</c:v>
                </c:pt>
                <c:pt idx="5">
                  <c:v>1023</c:v>
                </c:pt>
                <c:pt idx="6">
                  <c:v>1617</c:v>
                </c:pt>
                <c:pt idx="7">
                  <c:v>1622</c:v>
                </c:pt>
                <c:pt idx="8">
                  <c:v>1636</c:v>
                </c:pt>
                <c:pt idx="9">
                  <c:v>1653</c:v>
                </c:pt>
                <c:pt idx="10">
                  <c:v>1660</c:v>
                </c:pt>
                <c:pt idx="11">
                  <c:v>1677</c:v>
                </c:pt>
                <c:pt idx="12">
                  <c:v>19488.5</c:v>
                </c:pt>
                <c:pt idx="13">
                  <c:v>19968</c:v>
                </c:pt>
                <c:pt idx="14">
                  <c:v>19982</c:v>
                </c:pt>
                <c:pt idx="15">
                  <c:v>20379.5</c:v>
                </c:pt>
                <c:pt idx="16">
                  <c:v>20494</c:v>
                </c:pt>
                <c:pt idx="17">
                  <c:v>20555.5</c:v>
                </c:pt>
                <c:pt idx="18">
                  <c:v>23348.5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7.3971012739274117E-3</c:v>
                </c:pt>
                <c:pt idx="1">
                  <c:v>7.3971012739274117E-3</c:v>
                </c:pt>
                <c:pt idx="2">
                  <c:v>1.3630129144875562E-3</c:v>
                </c:pt>
                <c:pt idx="3">
                  <c:v>1.0144301208147351E-3</c:v>
                </c:pt>
                <c:pt idx="4">
                  <c:v>-4.6404172821136458E-4</c:v>
                </c:pt>
                <c:pt idx="5">
                  <c:v>-4.8994572752896655E-3</c:v>
                </c:pt>
                <c:pt idx="6">
                  <c:v>-1.2039394497415711E-2</c:v>
                </c:pt>
                <c:pt idx="7">
                  <c:v>-1.2099494979083438E-2</c:v>
                </c:pt>
                <c:pt idx="8">
                  <c:v>-1.2267776327753076E-2</c:v>
                </c:pt>
                <c:pt idx="9">
                  <c:v>-1.247211796542335E-2</c:v>
                </c:pt>
                <c:pt idx="10">
                  <c:v>-1.2556258639758167E-2</c:v>
                </c:pt>
                <c:pt idx="11">
                  <c:v>-1.2760600277428442E-2</c:v>
                </c:pt>
                <c:pt idx="12">
                  <c:v>-0.22685654612237466</c:v>
                </c:pt>
                <c:pt idx="13">
                  <c:v>-0.2326201823143097</c:v>
                </c:pt>
                <c:pt idx="14">
                  <c:v>-0.23278846366297934</c:v>
                </c:pt>
                <c:pt idx="15">
                  <c:v>-0.2375664519555637</c:v>
                </c:pt>
                <c:pt idx="16">
                  <c:v>-0.23894275298575468</c:v>
                </c:pt>
                <c:pt idx="17">
                  <c:v>-0.23968198891026771</c:v>
                </c:pt>
                <c:pt idx="18">
                  <c:v>-0.27325411796986038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21-4EF0-99B8-F27C27188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374368"/>
        <c:axId val="1"/>
      </c:scatterChart>
      <c:valAx>
        <c:axId val="672374368"/>
        <c:scaling>
          <c:orientation val="minMax"/>
          <c:max val="24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92208769602732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763629008739502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374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54876339382307"/>
          <c:y val="0.92419947506561673"/>
          <c:w val="0.74910525969200092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0</xdr:rowOff>
    </xdr:from>
    <xdr:to>
      <xdr:col>15</xdr:col>
      <xdr:colOff>419100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205F8EBE-B8B7-6616-2949-BBECF2D8C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123825</xdr:colOff>
      <xdr:row>0</xdr:row>
      <xdr:rowOff>0</xdr:rowOff>
    </xdr:from>
    <xdr:to>
      <xdr:col>24</xdr:col>
      <xdr:colOff>638175</xdr:colOff>
      <xdr:row>19</xdr:row>
      <xdr:rowOff>9525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C10530F3-5B74-5259-A6F1-7E2424099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16.pdf" TargetMode="External"/><Relationship Id="rId2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sfs/BAVM_link.php?BAVMnr=193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s="28" t="s">
        <v>38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26821.38</v>
      </c>
      <c r="D4" s="9">
        <v>1.414388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26821.38</v>
      </c>
    </row>
    <row r="8" spans="1:6" x14ac:dyDescent="0.2">
      <c r="A8" t="s">
        <v>3</v>
      </c>
      <c r="C8">
        <f>+D4</f>
        <v>1.414388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INTERCEPT(INDIRECT($D$9):G991,INDIRECT($C$9):F991)</f>
        <v>7.3971012739274117E-3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SLOPE(INDIRECT($D$9):G991,INDIRECT($C$9):F991)</f>
        <v>-1.202009633354553E-5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(C7+C11)+(C8+C12)*INT(MAX(F21:F3532))</f>
        <v>59844.237775892077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1.4143759799036664</v>
      </c>
      <c r="E16" s="16" t="s">
        <v>31</v>
      </c>
      <c r="F16" s="17">
        <f ca="1">NOW()+15018.5+$C$5/24</f>
        <v>60170.702638541661</v>
      </c>
    </row>
    <row r="17" spans="1:19" ht="13.5" thickBot="1" x14ac:dyDescent="0.25">
      <c r="A17" s="16" t="s">
        <v>28</v>
      </c>
      <c r="B17" s="12"/>
      <c r="C17" s="12">
        <f>COUNT(C21:C2190)</f>
        <v>19</v>
      </c>
      <c r="E17" s="16" t="s">
        <v>35</v>
      </c>
      <c r="F17" s="17">
        <f ca="1">ROUND(2*(F16-$C$7)/$C$8,0)/2+F15</f>
        <v>23579.5</v>
      </c>
    </row>
    <row r="18" spans="1:19" ht="14.25" thickTop="1" thickBot="1" x14ac:dyDescent="0.25">
      <c r="A18" s="18" t="s">
        <v>5</v>
      </c>
      <c r="B18" s="12"/>
      <c r="C18" s="21">
        <f ca="1">+C15</f>
        <v>59844.237775892077</v>
      </c>
      <c r="D18" s="22">
        <f ca="1">+C16</f>
        <v>1.4143759799036664</v>
      </c>
      <c r="E18" s="16" t="s">
        <v>36</v>
      </c>
      <c r="F18" s="25">
        <f ca="1">ROUND(2*(F16-$C$15)/$C$16,0)/2+F15</f>
        <v>232</v>
      </c>
    </row>
    <row r="19" spans="1:19" ht="13.5" thickTop="1" x14ac:dyDescent="0.2">
      <c r="E19" s="16" t="s">
        <v>32</v>
      </c>
      <c r="F19" s="20">
        <f ca="1">+$C$15+$C$16*F18-15018.5-$C$5/24</f>
        <v>45154.268836563067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S20" s="64" t="s">
        <v>128</v>
      </c>
    </row>
    <row r="21" spans="1:19" x14ac:dyDescent="0.2">
      <c r="A21" s="30" t="s">
        <v>12</v>
      </c>
      <c r="B21" s="30"/>
      <c r="C21" s="57">
        <f>+C4</f>
        <v>26821.38</v>
      </c>
      <c r="D21" s="31" t="s">
        <v>14</v>
      </c>
      <c r="E21">
        <f t="shared" ref="E21:E38" si="0">+(C21-C$7)/C$8</f>
        <v>0</v>
      </c>
      <c r="F21">
        <f t="shared" ref="F21:F38" si="1">ROUND(2*E21,0)/2</f>
        <v>0</v>
      </c>
      <c r="G21">
        <f t="shared" ref="G21:G38" si="2">+C21-(C$7+F21*C$8)</f>
        <v>0</v>
      </c>
      <c r="H21">
        <f t="shared" ref="H21:H32" si="3">+G21</f>
        <v>0</v>
      </c>
      <c r="O21">
        <f t="shared" ref="O21:O38" ca="1" si="4">+C$11+C$12*$F21</f>
        <v>7.3971012739274117E-3</v>
      </c>
      <c r="Q21" s="2">
        <f t="shared" ref="Q21:Q38" si="5">+C21-15018.5</f>
        <v>11802.880000000001</v>
      </c>
    </row>
    <row r="22" spans="1:19" x14ac:dyDescent="0.2">
      <c r="A22" s="52" t="s">
        <v>60</v>
      </c>
      <c r="B22" s="53" t="s">
        <v>39</v>
      </c>
      <c r="C22" s="58">
        <v>26821.398000000001</v>
      </c>
      <c r="D22" s="52" t="s">
        <v>54</v>
      </c>
      <c r="E22">
        <f t="shared" si="0"/>
        <v>1.2726352316358103E-2</v>
      </c>
      <c r="F22">
        <f t="shared" si="1"/>
        <v>0</v>
      </c>
      <c r="G22">
        <f t="shared" si="2"/>
        <v>1.8000000000029104E-2</v>
      </c>
      <c r="H22">
        <f t="shared" si="3"/>
        <v>1.8000000000029104E-2</v>
      </c>
      <c r="O22">
        <f t="shared" ca="1" si="4"/>
        <v>7.3971012739274117E-3</v>
      </c>
      <c r="Q22" s="2">
        <f t="shared" si="5"/>
        <v>11802.898000000001</v>
      </c>
    </row>
    <row r="23" spans="1:19" x14ac:dyDescent="0.2">
      <c r="A23" s="52" t="s">
        <v>60</v>
      </c>
      <c r="B23" s="53" t="s">
        <v>39</v>
      </c>
      <c r="C23" s="58">
        <v>27531.422999999999</v>
      </c>
      <c r="D23" s="52" t="s">
        <v>54</v>
      </c>
      <c r="E23">
        <f t="shared" si="0"/>
        <v>502.01429876384549</v>
      </c>
      <c r="F23">
        <f t="shared" si="1"/>
        <v>502</v>
      </c>
      <c r="G23">
        <f t="shared" si="2"/>
        <v>2.0223999996233033E-2</v>
      </c>
      <c r="H23">
        <f t="shared" si="3"/>
        <v>2.0223999996233033E-2</v>
      </c>
      <c r="O23">
        <f t="shared" ca="1" si="4"/>
        <v>1.3630129144875562E-3</v>
      </c>
      <c r="Q23" s="2">
        <f t="shared" si="5"/>
        <v>12512.922999999999</v>
      </c>
    </row>
    <row r="24" spans="1:19" x14ac:dyDescent="0.2">
      <c r="A24" s="52" t="s">
        <v>60</v>
      </c>
      <c r="B24" s="53" t="s">
        <v>39</v>
      </c>
      <c r="C24" s="58">
        <v>27572.391</v>
      </c>
      <c r="D24" s="52" t="s">
        <v>54</v>
      </c>
      <c r="E24">
        <f t="shared" si="0"/>
        <v>530.97947663583022</v>
      </c>
      <c r="F24">
        <f t="shared" si="1"/>
        <v>531</v>
      </c>
      <c r="G24">
        <f t="shared" si="2"/>
        <v>-2.9028000000835164E-2</v>
      </c>
      <c r="H24">
        <f t="shared" si="3"/>
        <v>-2.9028000000835164E-2</v>
      </c>
      <c r="O24">
        <f t="shared" ca="1" si="4"/>
        <v>1.0144301208147351E-3</v>
      </c>
      <c r="Q24" s="2">
        <f t="shared" si="5"/>
        <v>12553.891</v>
      </c>
    </row>
    <row r="25" spans="1:19" x14ac:dyDescent="0.2">
      <c r="A25" s="52" t="s">
        <v>60</v>
      </c>
      <c r="B25" s="53" t="s">
        <v>39</v>
      </c>
      <c r="C25" s="58">
        <v>27746.361000000001</v>
      </c>
      <c r="D25" s="52" t="s">
        <v>54</v>
      </c>
      <c r="E25">
        <f t="shared" si="0"/>
        <v>653.97967177323324</v>
      </c>
      <c r="F25">
        <f t="shared" si="1"/>
        <v>654</v>
      </c>
      <c r="G25">
        <f t="shared" si="2"/>
        <v>-2.8752000001986744E-2</v>
      </c>
      <c r="H25">
        <f t="shared" si="3"/>
        <v>-2.8752000001986744E-2</v>
      </c>
      <c r="O25">
        <f t="shared" ca="1" si="4"/>
        <v>-4.6404172821136458E-4</v>
      </c>
      <c r="Q25" s="2">
        <f t="shared" si="5"/>
        <v>12727.861000000001</v>
      </c>
    </row>
    <row r="26" spans="1:19" x14ac:dyDescent="0.2">
      <c r="A26" s="52" t="s">
        <v>60</v>
      </c>
      <c r="B26" s="53" t="s">
        <v>39</v>
      </c>
      <c r="C26" s="58">
        <v>28268.346000000001</v>
      </c>
      <c r="D26" s="52" t="s">
        <v>54</v>
      </c>
      <c r="E26">
        <f t="shared" si="0"/>
        <v>1023.033283653425</v>
      </c>
      <c r="F26">
        <f t="shared" si="1"/>
        <v>1023</v>
      </c>
      <c r="G26">
        <f t="shared" si="2"/>
        <v>4.707599999892409E-2</v>
      </c>
      <c r="H26">
        <f t="shared" si="3"/>
        <v>4.707599999892409E-2</v>
      </c>
      <c r="O26">
        <f t="shared" ca="1" si="4"/>
        <v>-4.8994572752896655E-3</v>
      </c>
      <c r="Q26" s="2">
        <f t="shared" si="5"/>
        <v>13249.846000000001</v>
      </c>
    </row>
    <row r="27" spans="1:19" x14ac:dyDescent="0.2">
      <c r="A27" s="52" t="s">
        <v>60</v>
      </c>
      <c r="B27" s="53" t="s">
        <v>39</v>
      </c>
      <c r="C27" s="58">
        <v>29108.451000000001</v>
      </c>
      <c r="D27" s="52" t="s">
        <v>54</v>
      </c>
      <c r="E27">
        <f t="shared" si="0"/>
        <v>1617.0039621376877</v>
      </c>
      <c r="F27">
        <f t="shared" si="1"/>
        <v>1617</v>
      </c>
      <c r="G27">
        <f t="shared" si="2"/>
        <v>5.6039999981294386E-3</v>
      </c>
      <c r="H27">
        <f t="shared" si="3"/>
        <v>5.6039999981294386E-3</v>
      </c>
      <c r="O27">
        <f t="shared" ca="1" si="4"/>
        <v>-1.2039394497415711E-2</v>
      </c>
      <c r="Q27" s="2">
        <f t="shared" si="5"/>
        <v>14089.951000000001</v>
      </c>
    </row>
    <row r="28" spans="1:19" x14ac:dyDescent="0.2">
      <c r="A28" s="52" t="s">
        <v>60</v>
      </c>
      <c r="B28" s="53" t="s">
        <v>39</v>
      </c>
      <c r="C28" s="58">
        <v>29115.508999999998</v>
      </c>
      <c r="D28" s="52" t="s">
        <v>54</v>
      </c>
      <c r="E28">
        <f t="shared" si="0"/>
        <v>1621.9941062848363</v>
      </c>
      <c r="F28">
        <f t="shared" si="1"/>
        <v>1622</v>
      </c>
      <c r="G28">
        <f t="shared" si="2"/>
        <v>-8.3360000026004855E-3</v>
      </c>
      <c r="H28">
        <f t="shared" si="3"/>
        <v>-8.3360000026004855E-3</v>
      </c>
      <c r="O28">
        <f t="shared" ca="1" si="4"/>
        <v>-1.2099494979083438E-2</v>
      </c>
      <c r="Q28" s="2">
        <f t="shared" si="5"/>
        <v>14097.008999999998</v>
      </c>
    </row>
    <row r="29" spans="1:19" x14ac:dyDescent="0.2">
      <c r="A29" s="52" t="s">
        <v>60</v>
      </c>
      <c r="B29" s="53" t="s">
        <v>39</v>
      </c>
      <c r="C29" s="58">
        <v>29135.311000000002</v>
      </c>
      <c r="D29" s="52" t="s">
        <v>54</v>
      </c>
      <c r="E29">
        <f t="shared" si="0"/>
        <v>1635.9945078719563</v>
      </c>
      <c r="F29">
        <f t="shared" si="1"/>
        <v>1636</v>
      </c>
      <c r="G29">
        <f t="shared" si="2"/>
        <v>-7.7679999994870741E-3</v>
      </c>
      <c r="H29">
        <f t="shared" si="3"/>
        <v>-7.7679999994870741E-3</v>
      </c>
      <c r="O29">
        <f t="shared" ca="1" si="4"/>
        <v>-1.2267776327753076E-2</v>
      </c>
      <c r="Q29" s="2">
        <f t="shared" si="5"/>
        <v>14116.811000000002</v>
      </c>
    </row>
    <row r="30" spans="1:19" x14ac:dyDescent="0.2">
      <c r="A30" s="52" t="s">
        <v>60</v>
      </c>
      <c r="B30" s="53" t="s">
        <v>39</v>
      </c>
      <c r="C30" s="58">
        <v>29159.37</v>
      </c>
      <c r="D30" s="52" t="s">
        <v>54</v>
      </c>
      <c r="E30">
        <f t="shared" si="0"/>
        <v>1653.0046917818859</v>
      </c>
      <c r="F30">
        <f t="shared" si="1"/>
        <v>1653</v>
      </c>
      <c r="G30">
        <f t="shared" si="2"/>
        <v>6.6359999982523732E-3</v>
      </c>
      <c r="H30">
        <f t="shared" si="3"/>
        <v>6.6359999982523732E-3</v>
      </c>
      <c r="O30">
        <f t="shared" ca="1" si="4"/>
        <v>-1.247211796542335E-2</v>
      </c>
      <c r="Q30" s="2">
        <f t="shared" si="5"/>
        <v>14140.869999999999</v>
      </c>
    </row>
    <row r="31" spans="1:19" x14ac:dyDescent="0.2">
      <c r="A31" s="52" t="s">
        <v>60</v>
      </c>
      <c r="B31" s="53" t="s">
        <v>39</v>
      </c>
      <c r="C31" s="58">
        <v>29169.252</v>
      </c>
      <c r="D31" s="52" t="s">
        <v>54</v>
      </c>
      <c r="E31">
        <f t="shared" si="0"/>
        <v>1659.9914592035561</v>
      </c>
      <c r="F31">
        <f t="shared" si="1"/>
        <v>1660</v>
      </c>
      <c r="G31">
        <f t="shared" si="2"/>
        <v>-1.2080000000423752E-2</v>
      </c>
      <c r="H31">
        <f t="shared" si="3"/>
        <v>-1.2080000000423752E-2</v>
      </c>
      <c r="O31">
        <f t="shared" ca="1" si="4"/>
        <v>-1.2556258639758167E-2</v>
      </c>
      <c r="Q31" s="2">
        <f t="shared" si="5"/>
        <v>14150.752</v>
      </c>
    </row>
    <row r="32" spans="1:19" x14ac:dyDescent="0.2">
      <c r="A32" s="52" t="s">
        <v>60</v>
      </c>
      <c r="B32" s="53" t="s">
        <v>39</v>
      </c>
      <c r="C32" s="58">
        <v>29193.326000000001</v>
      </c>
      <c r="D32" s="52" t="s">
        <v>54</v>
      </c>
      <c r="E32">
        <f t="shared" si="0"/>
        <v>1677.0122484070848</v>
      </c>
      <c r="F32">
        <f t="shared" si="1"/>
        <v>1677</v>
      </c>
      <c r="G32">
        <f t="shared" si="2"/>
        <v>1.7324000000371598E-2</v>
      </c>
      <c r="H32">
        <f t="shared" si="3"/>
        <v>1.7324000000371598E-2</v>
      </c>
      <c r="O32">
        <f t="shared" ca="1" si="4"/>
        <v>-1.2760600277428442E-2</v>
      </c>
      <c r="Q32" s="2">
        <f t="shared" si="5"/>
        <v>14174.826000000001</v>
      </c>
    </row>
    <row r="33" spans="1:19" x14ac:dyDescent="0.2">
      <c r="A33" s="52" t="s">
        <v>96</v>
      </c>
      <c r="B33" s="53" t="s">
        <v>39</v>
      </c>
      <c r="C33" s="58">
        <v>54385.358999999997</v>
      </c>
      <c r="D33" s="52" t="s">
        <v>54</v>
      </c>
      <c r="E33">
        <f t="shared" si="0"/>
        <v>19488.272666340494</v>
      </c>
      <c r="F33">
        <f t="shared" si="1"/>
        <v>19488.5</v>
      </c>
      <c r="G33">
        <f t="shared" si="2"/>
        <v>-0.32153800000378396</v>
      </c>
      <c r="I33">
        <f>+G33</f>
        <v>-0.32153800000378396</v>
      </c>
      <c r="O33">
        <f t="shared" ca="1" si="4"/>
        <v>-0.22685654612237466</v>
      </c>
      <c r="Q33" s="2">
        <f t="shared" si="5"/>
        <v>39366.858999999997</v>
      </c>
    </row>
    <row r="34" spans="1:19" x14ac:dyDescent="0.2">
      <c r="A34" s="32" t="s">
        <v>42</v>
      </c>
      <c r="B34" s="33" t="s">
        <v>39</v>
      </c>
      <c r="C34" s="59">
        <v>55063.550609999998</v>
      </c>
      <c r="D34" s="32">
        <v>5.9999999999999995E-4</v>
      </c>
      <c r="E34">
        <f t="shared" si="0"/>
        <v>19967.767408942949</v>
      </c>
      <c r="F34">
        <f t="shared" si="1"/>
        <v>19968</v>
      </c>
      <c r="G34">
        <f t="shared" si="2"/>
        <v>-0.32897400000365451</v>
      </c>
      <c r="K34">
        <f>+G34</f>
        <v>-0.32897400000365451</v>
      </c>
      <c r="O34">
        <f t="shared" ca="1" si="4"/>
        <v>-0.2326201823143097</v>
      </c>
      <c r="Q34" s="2">
        <f t="shared" si="5"/>
        <v>40045.050609999998</v>
      </c>
    </row>
    <row r="35" spans="1:19" x14ac:dyDescent="0.2">
      <c r="A35" s="34" t="s">
        <v>126</v>
      </c>
      <c r="B35" s="35" t="s">
        <v>39</v>
      </c>
      <c r="C35" s="60">
        <v>55083.345999999998</v>
      </c>
      <c r="D35" s="36">
        <v>2E-3</v>
      </c>
      <c r="E35">
        <f t="shared" si="0"/>
        <v>19981.763137130685</v>
      </c>
      <c r="F35">
        <f t="shared" si="1"/>
        <v>19982</v>
      </c>
      <c r="G35">
        <f t="shared" si="2"/>
        <v>-0.33501600000454346</v>
      </c>
      <c r="I35">
        <f>+G35</f>
        <v>-0.33501600000454346</v>
      </c>
      <c r="O35">
        <f t="shared" ca="1" si="4"/>
        <v>-0.23278846366297934</v>
      </c>
      <c r="Q35" s="2">
        <f t="shared" si="5"/>
        <v>40064.845999999998</v>
      </c>
    </row>
    <row r="36" spans="1:19" x14ac:dyDescent="0.2">
      <c r="A36" s="32" t="s">
        <v>40</v>
      </c>
      <c r="B36" s="33" t="s">
        <v>41</v>
      </c>
      <c r="C36" s="59">
        <v>55645.556900000003</v>
      </c>
      <c r="D36" s="32">
        <v>8.8000000000000005E-3</v>
      </c>
      <c r="E36">
        <f t="shared" si="0"/>
        <v>20379.257247657646</v>
      </c>
      <c r="F36">
        <f t="shared" si="1"/>
        <v>20379.5</v>
      </c>
      <c r="G36">
        <f t="shared" si="2"/>
        <v>-0.34334600000147475</v>
      </c>
      <c r="J36">
        <f>+G36</f>
        <v>-0.34334600000147475</v>
      </c>
      <c r="O36">
        <f t="shared" ca="1" si="4"/>
        <v>-0.2375664519555637</v>
      </c>
      <c r="Q36" s="2">
        <f t="shared" si="5"/>
        <v>40627.056900000003</v>
      </c>
    </row>
    <row r="37" spans="1:19" x14ac:dyDescent="0.2">
      <c r="A37" s="52" t="s">
        <v>119</v>
      </c>
      <c r="B37" s="53" t="s">
        <v>39</v>
      </c>
      <c r="C37" s="58">
        <v>55807.498399999997</v>
      </c>
      <c r="D37" s="52" t="s">
        <v>54</v>
      </c>
      <c r="E37">
        <f t="shared" si="0"/>
        <v>20493.753057859652</v>
      </c>
      <c r="F37">
        <f t="shared" si="1"/>
        <v>20494</v>
      </c>
      <c r="G37">
        <f t="shared" si="2"/>
        <v>-0.34927200000674929</v>
      </c>
      <c r="K37">
        <f>+G37</f>
        <v>-0.34927200000674929</v>
      </c>
      <c r="O37">
        <f t="shared" ca="1" si="4"/>
        <v>-0.23894275298575468</v>
      </c>
      <c r="Q37" s="2">
        <f t="shared" si="5"/>
        <v>40788.998399999997</v>
      </c>
    </row>
    <row r="38" spans="1:19" x14ac:dyDescent="0.2">
      <c r="A38" s="29" t="s">
        <v>43</v>
      </c>
      <c r="B38" s="37" t="s">
        <v>41</v>
      </c>
      <c r="C38" s="61">
        <v>55894.4804</v>
      </c>
      <c r="D38" s="38">
        <v>5.0000000000000001E-4</v>
      </c>
      <c r="E38">
        <f t="shared" si="0"/>
        <v>20555.251034369634</v>
      </c>
      <c r="F38">
        <f t="shared" si="1"/>
        <v>20555.5</v>
      </c>
      <c r="G38">
        <f t="shared" si="2"/>
        <v>-0.35213400000066031</v>
      </c>
      <c r="K38">
        <f>+G38</f>
        <v>-0.35213400000066031</v>
      </c>
      <c r="O38">
        <f t="shared" ca="1" si="4"/>
        <v>-0.23968198891026771</v>
      </c>
      <c r="Q38" s="2">
        <f t="shared" si="5"/>
        <v>40875.9804</v>
      </c>
    </row>
    <row r="39" spans="1:19" x14ac:dyDescent="0.2">
      <c r="A39" s="54" t="s">
        <v>127</v>
      </c>
      <c r="B39" s="55" t="s">
        <v>39</v>
      </c>
      <c r="C39" s="62">
        <v>59845.4755</v>
      </c>
      <c r="D39" s="54">
        <v>3.7000000000000002E-3</v>
      </c>
      <c r="E39">
        <f t="shared" ref="E39" si="6">+(C39-C$7)/C$8</f>
        <v>23348.681903409812</v>
      </c>
      <c r="F39">
        <f t="shared" ref="F39" si="7">ROUND(2*E39,0)/2</f>
        <v>23348.5</v>
      </c>
      <c r="G39">
        <f t="shared" ref="G39" si="8">+C39-(C$7+F39*C$8)</f>
        <v>0.2572820000059437</v>
      </c>
      <c r="O39">
        <f t="shared" ref="O39" ca="1" si="9">+C$11+C$12*$F39</f>
        <v>-0.27325411796986038</v>
      </c>
      <c r="Q39" s="2">
        <f t="shared" ref="Q39" si="10">+C39-15018.5</f>
        <v>44826.9755</v>
      </c>
      <c r="S39">
        <f>+G39</f>
        <v>0.2572820000059437</v>
      </c>
    </row>
    <row r="40" spans="1:19" x14ac:dyDescent="0.2">
      <c r="B40" s="3"/>
      <c r="C40" s="63"/>
      <c r="D40" s="10"/>
    </row>
    <row r="41" spans="1:19" x14ac:dyDescent="0.2">
      <c r="B41" s="3"/>
      <c r="C41" s="56"/>
      <c r="D41" s="10"/>
    </row>
    <row r="42" spans="1:19" x14ac:dyDescent="0.2">
      <c r="B42" s="3"/>
      <c r="C42" s="56"/>
      <c r="D42" s="10"/>
    </row>
    <row r="43" spans="1:19" x14ac:dyDescent="0.2">
      <c r="B43" s="3"/>
      <c r="C43" s="10"/>
      <c r="D43" s="10"/>
    </row>
    <row r="44" spans="1:19" x14ac:dyDescent="0.2">
      <c r="C44" s="10"/>
      <c r="D44" s="10"/>
    </row>
    <row r="45" spans="1:19" x14ac:dyDescent="0.2">
      <c r="C45" s="10"/>
      <c r="D45" s="10"/>
    </row>
    <row r="46" spans="1:19" x14ac:dyDescent="0.2">
      <c r="C46" s="10"/>
      <c r="D46" s="10"/>
    </row>
    <row r="47" spans="1:19" x14ac:dyDescent="0.2">
      <c r="C47" s="10"/>
      <c r="D47" s="10"/>
    </row>
    <row r="48" spans="1:19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6"/>
  <sheetViews>
    <sheetView topLeftCell="A4" workbookViewId="0">
      <selection activeCell="A14" sqref="A14:D27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9" t="s">
        <v>44</v>
      </c>
      <c r="I1" s="40" t="s">
        <v>45</v>
      </c>
      <c r="J1" s="41" t="s">
        <v>46</v>
      </c>
    </row>
    <row r="2" spans="1:16" x14ac:dyDescent="0.2">
      <c r="I2" s="42" t="s">
        <v>47</v>
      </c>
      <c r="J2" s="43" t="s">
        <v>48</v>
      </c>
    </row>
    <row r="3" spans="1:16" x14ac:dyDescent="0.2">
      <c r="A3" s="44" t="s">
        <v>49</v>
      </c>
      <c r="I3" s="42" t="s">
        <v>50</v>
      </c>
      <c r="J3" s="43" t="s">
        <v>51</v>
      </c>
    </row>
    <row r="4" spans="1:16" x14ac:dyDescent="0.2">
      <c r="I4" s="42" t="s">
        <v>52</v>
      </c>
      <c r="J4" s="43" t="s">
        <v>51</v>
      </c>
    </row>
    <row r="5" spans="1:16" ht="13.5" thickBot="1" x14ac:dyDescent="0.25">
      <c r="I5" s="45" t="s">
        <v>53</v>
      </c>
      <c r="J5" s="46" t="s">
        <v>54</v>
      </c>
    </row>
    <row r="10" spans="1:16" ht="13.5" thickBot="1" x14ac:dyDescent="0.25"/>
    <row r="11" spans="1:16" ht="12.75" customHeight="1" thickBot="1" x14ac:dyDescent="0.25">
      <c r="A11" s="10" t="str">
        <f t="shared" ref="A11:A27" si="0">P11</f>
        <v>OEJV 0116 </v>
      </c>
      <c r="B11" s="3" t="str">
        <f t="shared" ref="B11:B27" si="1">IF(H11=INT(H11),"I","II")</f>
        <v>I</v>
      </c>
      <c r="C11" s="10">
        <f t="shared" ref="C11:C27" si="2">1*G11</f>
        <v>55083.345999999998</v>
      </c>
      <c r="D11" s="12" t="str">
        <f t="shared" ref="D11:D27" si="3">VLOOKUP(F11,I$1:J$5,2,FALSE)</f>
        <v>vis</v>
      </c>
      <c r="E11" s="47">
        <f>VLOOKUP(C11,Active!C$21:E$972,3,FALSE)</f>
        <v>19981.763137130685</v>
      </c>
      <c r="F11" s="3" t="s">
        <v>53</v>
      </c>
      <c r="G11" s="12" t="str">
        <f t="shared" ref="G11:G27" si="4">MID(I11,3,LEN(I11)-3)</f>
        <v>55083.346</v>
      </c>
      <c r="H11" s="10">
        <f t="shared" ref="H11:H27" si="5">1*K11</f>
        <v>19982</v>
      </c>
      <c r="I11" s="48" t="s">
        <v>103</v>
      </c>
      <c r="J11" s="49" t="s">
        <v>104</v>
      </c>
      <c r="K11" s="48" t="s">
        <v>105</v>
      </c>
      <c r="L11" s="48" t="s">
        <v>106</v>
      </c>
      <c r="M11" s="49" t="s">
        <v>93</v>
      </c>
      <c r="N11" s="49" t="s">
        <v>107</v>
      </c>
      <c r="O11" s="50" t="s">
        <v>108</v>
      </c>
      <c r="P11" s="51" t="s">
        <v>109</v>
      </c>
    </row>
    <row r="12" spans="1:16" ht="12.75" customHeight="1" thickBot="1" x14ac:dyDescent="0.25">
      <c r="A12" s="10" t="str">
        <f t="shared" si="0"/>
        <v>BAVM 220 </v>
      </c>
      <c r="B12" s="3" t="str">
        <f t="shared" si="1"/>
        <v>I</v>
      </c>
      <c r="C12" s="10">
        <f t="shared" si="2"/>
        <v>55645.556900000003</v>
      </c>
      <c r="D12" s="12" t="str">
        <f t="shared" si="3"/>
        <v>vis</v>
      </c>
      <c r="E12" s="47">
        <f>VLOOKUP(C12,Active!C$21:E$972,3,FALSE)</f>
        <v>20379.257247657646</v>
      </c>
      <c r="F12" s="3" t="s">
        <v>53</v>
      </c>
      <c r="G12" s="12" t="str">
        <f t="shared" si="4"/>
        <v>55645.5569</v>
      </c>
      <c r="H12" s="10">
        <f t="shared" si="5"/>
        <v>20379</v>
      </c>
      <c r="I12" s="48" t="s">
        <v>110</v>
      </c>
      <c r="J12" s="49" t="s">
        <v>111</v>
      </c>
      <c r="K12" s="48" t="s">
        <v>112</v>
      </c>
      <c r="L12" s="48" t="s">
        <v>113</v>
      </c>
      <c r="M12" s="49" t="s">
        <v>93</v>
      </c>
      <c r="N12" s="49" t="s">
        <v>94</v>
      </c>
      <c r="O12" s="50" t="s">
        <v>95</v>
      </c>
      <c r="P12" s="51" t="s">
        <v>114</v>
      </c>
    </row>
    <row r="13" spans="1:16" ht="12.75" customHeight="1" thickBot="1" x14ac:dyDescent="0.25">
      <c r="A13" s="10" t="str">
        <f t="shared" si="0"/>
        <v>OEJV 0160 </v>
      </c>
      <c r="B13" s="3" t="str">
        <f t="shared" si="1"/>
        <v>I</v>
      </c>
      <c r="C13" s="10">
        <f t="shared" si="2"/>
        <v>55894.4804</v>
      </c>
      <c r="D13" s="12" t="str">
        <f t="shared" si="3"/>
        <v>vis</v>
      </c>
      <c r="E13" s="47">
        <f>VLOOKUP(C13,Active!C$21:E$972,3,FALSE)</f>
        <v>20555.251034369634</v>
      </c>
      <c r="F13" s="3" t="s">
        <v>53</v>
      </c>
      <c r="G13" s="12" t="str">
        <f t="shared" si="4"/>
        <v>55894.4804</v>
      </c>
      <c r="H13" s="10">
        <f t="shared" si="5"/>
        <v>20555</v>
      </c>
      <c r="I13" s="48" t="s">
        <v>120</v>
      </c>
      <c r="J13" s="49" t="s">
        <v>121</v>
      </c>
      <c r="K13" s="48" t="s">
        <v>122</v>
      </c>
      <c r="L13" s="48" t="s">
        <v>123</v>
      </c>
      <c r="M13" s="49" t="s">
        <v>93</v>
      </c>
      <c r="N13" s="49" t="s">
        <v>45</v>
      </c>
      <c r="O13" s="50" t="s">
        <v>124</v>
      </c>
      <c r="P13" s="51" t="s">
        <v>125</v>
      </c>
    </row>
    <row r="14" spans="1:16" ht="12.75" customHeight="1" thickBot="1" x14ac:dyDescent="0.25">
      <c r="A14" s="10" t="str">
        <f t="shared" si="0"/>
        <v> KVBB 24.114 </v>
      </c>
      <c r="B14" s="3" t="str">
        <f t="shared" si="1"/>
        <v>I</v>
      </c>
      <c r="C14" s="10">
        <f t="shared" si="2"/>
        <v>26821.398000000001</v>
      </c>
      <c r="D14" s="12" t="str">
        <f t="shared" si="3"/>
        <v>vis</v>
      </c>
      <c r="E14" s="47">
        <f>VLOOKUP(C14,Active!C$21:E$972,3,FALSE)</f>
        <v>1.2726352316358103E-2</v>
      </c>
      <c r="F14" s="3" t="s">
        <v>53</v>
      </c>
      <c r="G14" s="12" t="str">
        <f t="shared" si="4"/>
        <v>26821.398</v>
      </c>
      <c r="H14" s="10">
        <f t="shared" si="5"/>
        <v>0</v>
      </c>
      <c r="I14" s="48" t="s">
        <v>55</v>
      </c>
      <c r="J14" s="49" t="s">
        <v>56</v>
      </c>
      <c r="K14" s="48">
        <v>0</v>
      </c>
      <c r="L14" s="48" t="s">
        <v>57</v>
      </c>
      <c r="M14" s="49" t="s">
        <v>58</v>
      </c>
      <c r="N14" s="49"/>
      <c r="O14" s="50" t="s">
        <v>59</v>
      </c>
      <c r="P14" s="50" t="s">
        <v>60</v>
      </c>
    </row>
    <row r="15" spans="1:16" ht="12.75" customHeight="1" thickBot="1" x14ac:dyDescent="0.25">
      <c r="A15" s="10" t="str">
        <f t="shared" si="0"/>
        <v> KVBB 24.114 </v>
      </c>
      <c r="B15" s="3" t="str">
        <f t="shared" si="1"/>
        <v>I</v>
      </c>
      <c r="C15" s="10">
        <f t="shared" si="2"/>
        <v>27531.422999999999</v>
      </c>
      <c r="D15" s="12" t="str">
        <f t="shared" si="3"/>
        <v>vis</v>
      </c>
      <c r="E15" s="47">
        <f>VLOOKUP(C15,Active!C$21:E$972,3,FALSE)</f>
        <v>502.01429876384549</v>
      </c>
      <c r="F15" s="3" t="s">
        <v>53</v>
      </c>
      <c r="G15" s="12" t="str">
        <f t="shared" si="4"/>
        <v>27531.423</v>
      </c>
      <c r="H15" s="10">
        <f t="shared" si="5"/>
        <v>502</v>
      </c>
      <c r="I15" s="48" t="s">
        <v>61</v>
      </c>
      <c r="J15" s="49" t="s">
        <v>62</v>
      </c>
      <c r="K15" s="48">
        <v>502</v>
      </c>
      <c r="L15" s="48" t="s">
        <v>63</v>
      </c>
      <c r="M15" s="49" t="s">
        <v>58</v>
      </c>
      <c r="N15" s="49"/>
      <c r="O15" s="50" t="s">
        <v>59</v>
      </c>
      <c r="P15" s="50" t="s">
        <v>60</v>
      </c>
    </row>
    <row r="16" spans="1:16" ht="12.75" customHeight="1" thickBot="1" x14ac:dyDescent="0.25">
      <c r="A16" s="10" t="str">
        <f t="shared" si="0"/>
        <v> KVBB 24.114 </v>
      </c>
      <c r="B16" s="3" t="str">
        <f t="shared" si="1"/>
        <v>I</v>
      </c>
      <c r="C16" s="10">
        <f t="shared" si="2"/>
        <v>27572.391</v>
      </c>
      <c r="D16" s="12" t="str">
        <f t="shared" si="3"/>
        <v>vis</v>
      </c>
      <c r="E16" s="47">
        <f>VLOOKUP(C16,Active!C$21:E$972,3,FALSE)</f>
        <v>530.97947663583022</v>
      </c>
      <c r="F16" s="3" t="s">
        <v>53</v>
      </c>
      <c r="G16" s="12" t="str">
        <f t="shared" si="4"/>
        <v>27572.391</v>
      </c>
      <c r="H16" s="10">
        <f t="shared" si="5"/>
        <v>531</v>
      </c>
      <c r="I16" s="48" t="s">
        <v>64</v>
      </c>
      <c r="J16" s="49" t="s">
        <v>65</v>
      </c>
      <c r="K16" s="48">
        <v>531</v>
      </c>
      <c r="L16" s="48" t="s">
        <v>66</v>
      </c>
      <c r="M16" s="49" t="s">
        <v>58</v>
      </c>
      <c r="N16" s="49"/>
      <c r="O16" s="50" t="s">
        <v>59</v>
      </c>
      <c r="P16" s="50" t="s">
        <v>60</v>
      </c>
    </row>
    <row r="17" spans="1:16" ht="12.75" customHeight="1" thickBot="1" x14ac:dyDescent="0.25">
      <c r="A17" s="10" t="str">
        <f t="shared" si="0"/>
        <v> KVBB 24.114 </v>
      </c>
      <c r="B17" s="3" t="str">
        <f t="shared" si="1"/>
        <v>I</v>
      </c>
      <c r="C17" s="10">
        <f t="shared" si="2"/>
        <v>27746.361000000001</v>
      </c>
      <c r="D17" s="12" t="str">
        <f t="shared" si="3"/>
        <v>vis</v>
      </c>
      <c r="E17" s="47">
        <f>VLOOKUP(C17,Active!C$21:E$972,3,FALSE)</f>
        <v>653.97967177323324</v>
      </c>
      <c r="F17" s="3" t="s">
        <v>53</v>
      </c>
      <c r="G17" s="12" t="str">
        <f t="shared" si="4"/>
        <v>27746.361</v>
      </c>
      <c r="H17" s="10">
        <f t="shared" si="5"/>
        <v>654</v>
      </c>
      <c r="I17" s="48" t="s">
        <v>67</v>
      </c>
      <c r="J17" s="49" t="s">
        <v>68</v>
      </c>
      <c r="K17" s="48">
        <v>654</v>
      </c>
      <c r="L17" s="48" t="s">
        <v>66</v>
      </c>
      <c r="M17" s="49" t="s">
        <v>58</v>
      </c>
      <c r="N17" s="49"/>
      <c r="O17" s="50" t="s">
        <v>59</v>
      </c>
      <c r="P17" s="50" t="s">
        <v>60</v>
      </c>
    </row>
    <row r="18" spans="1:16" ht="12.75" customHeight="1" thickBot="1" x14ac:dyDescent="0.25">
      <c r="A18" s="10" t="str">
        <f t="shared" si="0"/>
        <v> KVBB 24.114 </v>
      </c>
      <c r="B18" s="3" t="str">
        <f t="shared" si="1"/>
        <v>I</v>
      </c>
      <c r="C18" s="10">
        <f t="shared" si="2"/>
        <v>28268.346000000001</v>
      </c>
      <c r="D18" s="12" t="str">
        <f t="shared" si="3"/>
        <v>vis</v>
      </c>
      <c r="E18" s="47">
        <f>VLOOKUP(C18,Active!C$21:E$972,3,FALSE)</f>
        <v>1023.033283653425</v>
      </c>
      <c r="F18" s="3" t="s">
        <v>53</v>
      </c>
      <c r="G18" s="12" t="str">
        <f t="shared" si="4"/>
        <v>28268.346</v>
      </c>
      <c r="H18" s="10">
        <f t="shared" si="5"/>
        <v>1023</v>
      </c>
      <c r="I18" s="48" t="s">
        <v>69</v>
      </c>
      <c r="J18" s="49" t="s">
        <v>70</v>
      </c>
      <c r="K18" s="48">
        <v>1023</v>
      </c>
      <c r="L18" s="48" t="s">
        <v>71</v>
      </c>
      <c r="M18" s="49" t="s">
        <v>58</v>
      </c>
      <c r="N18" s="49"/>
      <c r="O18" s="50" t="s">
        <v>59</v>
      </c>
      <c r="P18" s="50" t="s">
        <v>60</v>
      </c>
    </row>
    <row r="19" spans="1:16" ht="12.75" customHeight="1" thickBot="1" x14ac:dyDescent="0.25">
      <c r="A19" s="10" t="str">
        <f t="shared" si="0"/>
        <v> KVBB 24.114 </v>
      </c>
      <c r="B19" s="3" t="str">
        <f t="shared" si="1"/>
        <v>I</v>
      </c>
      <c r="C19" s="10">
        <f t="shared" si="2"/>
        <v>29108.451000000001</v>
      </c>
      <c r="D19" s="12" t="str">
        <f t="shared" si="3"/>
        <v>vis</v>
      </c>
      <c r="E19" s="47">
        <f>VLOOKUP(C19,Active!C$21:E$972,3,FALSE)</f>
        <v>1617.0039621376877</v>
      </c>
      <c r="F19" s="3" t="s">
        <v>53</v>
      </c>
      <c r="G19" s="12" t="str">
        <f t="shared" si="4"/>
        <v>29108.451</v>
      </c>
      <c r="H19" s="10">
        <f t="shared" si="5"/>
        <v>1617</v>
      </c>
      <c r="I19" s="48" t="s">
        <v>72</v>
      </c>
      <c r="J19" s="49" t="s">
        <v>73</v>
      </c>
      <c r="K19" s="48">
        <v>1617</v>
      </c>
      <c r="L19" s="48" t="s">
        <v>74</v>
      </c>
      <c r="M19" s="49" t="s">
        <v>75</v>
      </c>
      <c r="N19" s="49"/>
      <c r="O19" s="50" t="s">
        <v>59</v>
      </c>
      <c r="P19" s="50" t="s">
        <v>60</v>
      </c>
    </row>
    <row r="20" spans="1:16" ht="12.75" customHeight="1" thickBot="1" x14ac:dyDescent="0.25">
      <c r="A20" s="10" t="str">
        <f t="shared" si="0"/>
        <v> KVBB 24.114 </v>
      </c>
      <c r="B20" s="3" t="str">
        <f t="shared" si="1"/>
        <v>I</v>
      </c>
      <c r="C20" s="10">
        <f t="shared" si="2"/>
        <v>29115.508999999998</v>
      </c>
      <c r="D20" s="12" t="str">
        <f t="shared" si="3"/>
        <v>vis</v>
      </c>
      <c r="E20" s="47">
        <f>VLOOKUP(C20,Active!C$21:E$972,3,FALSE)</f>
        <v>1621.9941062848363</v>
      </c>
      <c r="F20" s="3" t="s">
        <v>53</v>
      </c>
      <c r="G20" s="12" t="str">
        <f t="shared" si="4"/>
        <v>29115.509</v>
      </c>
      <c r="H20" s="10">
        <f t="shared" si="5"/>
        <v>1622</v>
      </c>
      <c r="I20" s="48" t="s">
        <v>76</v>
      </c>
      <c r="J20" s="49" t="s">
        <v>77</v>
      </c>
      <c r="K20" s="48">
        <v>1622</v>
      </c>
      <c r="L20" s="48" t="s">
        <v>78</v>
      </c>
      <c r="M20" s="49" t="s">
        <v>75</v>
      </c>
      <c r="N20" s="49"/>
      <c r="O20" s="50" t="s">
        <v>59</v>
      </c>
      <c r="P20" s="50" t="s">
        <v>60</v>
      </c>
    </row>
    <row r="21" spans="1:16" ht="12.75" customHeight="1" thickBot="1" x14ac:dyDescent="0.25">
      <c r="A21" s="10" t="str">
        <f t="shared" si="0"/>
        <v> KVBB 24.114 </v>
      </c>
      <c r="B21" s="3" t="str">
        <f t="shared" si="1"/>
        <v>I</v>
      </c>
      <c r="C21" s="10">
        <f t="shared" si="2"/>
        <v>29135.311000000002</v>
      </c>
      <c r="D21" s="12" t="str">
        <f t="shared" si="3"/>
        <v>vis</v>
      </c>
      <c r="E21" s="47">
        <f>VLOOKUP(C21,Active!C$21:E$972,3,FALSE)</f>
        <v>1635.9945078719563</v>
      </c>
      <c r="F21" s="3" t="s">
        <v>53</v>
      </c>
      <c r="G21" s="12" t="str">
        <f t="shared" si="4"/>
        <v>29135.311</v>
      </c>
      <c r="H21" s="10">
        <f t="shared" si="5"/>
        <v>1636</v>
      </c>
      <c r="I21" s="48" t="s">
        <v>79</v>
      </c>
      <c r="J21" s="49" t="s">
        <v>80</v>
      </c>
      <c r="K21" s="48">
        <v>1636</v>
      </c>
      <c r="L21" s="48" t="s">
        <v>78</v>
      </c>
      <c r="M21" s="49" t="s">
        <v>75</v>
      </c>
      <c r="N21" s="49"/>
      <c r="O21" s="50" t="s">
        <v>59</v>
      </c>
      <c r="P21" s="50" t="s">
        <v>60</v>
      </c>
    </row>
    <row r="22" spans="1:16" ht="12.75" customHeight="1" thickBot="1" x14ac:dyDescent="0.25">
      <c r="A22" s="10" t="str">
        <f t="shared" si="0"/>
        <v> KVBB 24.114 </v>
      </c>
      <c r="B22" s="3" t="str">
        <f t="shared" si="1"/>
        <v>I</v>
      </c>
      <c r="C22" s="10">
        <f t="shared" si="2"/>
        <v>29159.37</v>
      </c>
      <c r="D22" s="12" t="str">
        <f t="shared" si="3"/>
        <v>vis</v>
      </c>
      <c r="E22" s="47">
        <f>VLOOKUP(C22,Active!C$21:E$972,3,FALSE)</f>
        <v>1653.0046917818859</v>
      </c>
      <c r="F22" s="3" t="s">
        <v>53</v>
      </c>
      <c r="G22" s="12" t="str">
        <f t="shared" si="4"/>
        <v>29159.370</v>
      </c>
      <c r="H22" s="10">
        <f t="shared" si="5"/>
        <v>1653</v>
      </c>
      <c r="I22" s="48" t="s">
        <v>81</v>
      </c>
      <c r="J22" s="49" t="s">
        <v>82</v>
      </c>
      <c r="K22" s="48">
        <v>1653</v>
      </c>
      <c r="L22" s="48" t="s">
        <v>83</v>
      </c>
      <c r="M22" s="49" t="s">
        <v>75</v>
      </c>
      <c r="N22" s="49"/>
      <c r="O22" s="50" t="s">
        <v>59</v>
      </c>
      <c r="P22" s="50" t="s">
        <v>60</v>
      </c>
    </row>
    <row r="23" spans="1:16" ht="12.75" customHeight="1" thickBot="1" x14ac:dyDescent="0.25">
      <c r="A23" s="10" t="str">
        <f t="shared" si="0"/>
        <v> KVBB 24.114 </v>
      </c>
      <c r="B23" s="3" t="str">
        <f t="shared" si="1"/>
        <v>I</v>
      </c>
      <c r="C23" s="10">
        <f t="shared" si="2"/>
        <v>29169.252</v>
      </c>
      <c r="D23" s="12" t="str">
        <f t="shared" si="3"/>
        <v>vis</v>
      </c>
      <c r="E23" s="47">
        <f>VLOOKUP(C23,Active!C$21:E$972,3,FALSE)</f>
        <v>1659.9914592035561</v>
      </c>
      <c r="F23" s="3" t="s">
        <v>53</v>
      </c>
      <c r="G23" s="12" t="str">
        <f t="shared" si="4"/>
        <v>29169.252</v>
      </c>
      <c r="H23" s="10">
        <f t="shared" si="5"/>
        <v>1660</v>
      </c>
      <c r="I23" s="48" t="s">
        <v>84</v>
      </c>
      <c r="J23" s="49" t="s">
        <v>85</v>
      </c>
      <c r="K23" s="48">
        <v>1660</v>
      </c>
      <c r="L23" s="48" t="s">
        <v>86</v>
      </c>
      <c r="M23" s="49" t="s">
        <v>75</v>
      </c>
      <c r="N23" s="49"/>
      <c r="O23" s="50" t="s">
        <v>59</v>
      </c>
      <c r="P23" s="50" t="s">
        <v>60</v>
      </c>
    </row>
    <row r="24" spans="1:16" ht="12.75" customHeight="1" thickBot="1" x14ac:dyDescent="0.25">
      <c r="A24" s="10" t="str">
        <f t="shared" si="0"/>
        <v> KVBB 24.114 </v>
      </c>
      <c r="B24" s="3" t="str">
        <f t="shared" si="1"/>
        <v>I</v>
      </c>
      <c r="C24" s="10">
        <f t="shared" si="2"/>
        <v>29193.326000000001</v>
      </c>
      <c r="D24" s="12" t="str">
        <f t="shared" si="3"/>
        <v>vis</v>
      </c>
      <c r="E24" s="47">
        <f>VLOOKUP(C24,Active!C$21:E$972,3,FALSE)</f>
        <v>1677.0122484070848</v>
      </c>
      <c r="F24" s="3" t="s">
        <v>53</v>
      </c>
      <c r="G24" s="12" t="str">
        <f t="shared" si="4"/>
        <v>29193.326</v>
      </c>
      <c r="H24" s="10">
        <f t="shared" si="5"/>
        <v>1677</v>
      </c>
      <c r="I24" s="48" t="s">
        <v>87</v>
      </c>
      <c r="J24" s="49" t="s">
        <v>88</v>
      </c>
      <c r="K24" s="48">
        <v>1677</v>
      </c>
      <c r="L24" s="48" t="s">
        <v>89</v>
      </c>
      <c r="M24" s="49" t="s">
        <v>75</v>
      </c>
      <c r="N24" s="49"/>
      <c r="O24" s="50" t="s">
        <v>59</v>
      </c>
      <c r="P24" s="50" t="s">
        <v>60</v>
      </c>
    </row>
    <row r="25" spans="1:16" ht="12.75" customHeight="1" thickBot="1" x14ac:dyDescent="0.25">
      <c r="A25" s="10" t="str">
        <f t="shared" si="0"/>
        <v>BAVM 193 </v>
      </c>
      <c r="B25" s="3" t="str">
        <f t="shared" si="1"/>
        <v>I</v>
      </c>
      <c r="C25" s="10">
        <f t="shared" si="2"/>
        <v>54385.358999999997</v>
      </c>
      <c r="D25" s="12" t="str">
        <f t="shared" si="3"/>
        <v>vis</v>
      </c>
      <c r="E25" s="47">
        <f>VLOOKUP(C25,Active!C$21:E$972,3,FALSE)</f>
        <v>19488.272666340494</v>
      </c>
      <c r="F25" s="3" t="s">
        <v>53</v>
      </c>
      <c r="G25" s="12" t="str">
        <f t="shared" si="4"/>
        <v>54385.3590</v>
      </c>
      <c r="H25" s="10">
        <f t="shared" si="5"/>
        <v>19488</v>
      </c>
      <c r="I25" s="48" t="s">
        <v>90</v>
      </c>
      <c r="J25" s="49" t="s">
        <v>91</v>
      </c>
      <c r="K25" s="48">
        <v>19488</v>
      </c>
      <c r="L25" s="48" t="s">
        <v>92</v>
      </c>
      <c r="M25" s="49" t="s">
        <v>93</v>
      </c>
      <c r="N25" s="49" t="s">
        <v>94</v>
      </c>
      <c r="O25" s="50" t="s">
        <v>95</v>
      </c>
      <c r="P25" s="51" t="s">
        <v>96</v>
      </c>
    </row>
    <row r="26" spans="1:16" ht="12.75" customHeight="1" thickBot="1" x14ac:dyDescent="0.25">
      <c r="A26" s="10" t="str">
        <f t="shared" si="0"/>
        <v>OEJV 0137 </v>
      </c>
      <c r="B26" s="3" t="str">
        <f t="shared" si="1"/>
        <v>I</v>
      </c>
      <c r="C26" s="10">
        <f t="shared" si="2"/>
        <v>55063.550600000002</v>
      </c>
      <c r="D26" s="12" t="str">
        <f t="shared" si="3"/>
        <v>vis</v>
      </c>
      <c r="E26" s="47" t="e">
        <f>VLOOKUP(C26,Active!C$21:E$972,3,FALSE)</f>
        <v>#N/A</v>
      </c>
      <c r="F26" s="3" t="s">
        <v>53</v>
      </c>
      <c r="G26" s="12" t="str">
        <f t="shared" si="4"/>
        <v>55063.5506</v>
      </c>
      <c r="H26" s="10">
        <f t="shared" si="5"/>
        <v>19968</v>
      </c>
      <c r="I26" s="48" t="s">
        <v>97</v>
      </c>
      <c r="J26" s="49" t="s">
        <v>98</v>
      </c>
      <c r="K26" s="48" t="s">
        <v>99</v>
      </c>
      <c r="L26" s="48" t="s">
        <v>100</v>
      </c>
      <c r="M26" s="49" t="s">
        <v>93</v>
      </c>
      <c r="N26" s="49" t="s">
        <v>45</v>
      </c>
      <c r="O26" s="50" t="s">
        <v>101</v>
      </c>
      <c r="P26" s="51" t="s">
        <v>102</v>
      </c>
    </row>
    <row r="27" spans="1:16" ht="12.75" customHeight="1" thickBot="1" x14ac:dyDescent="0.25">
      <c r="A27" s="10" t="str">
        <f t="shared" si="0"/>
        <v>BAVM 225 </v>
      </c>
      <c r="B27" s="3" t="str">
        <f t="shared" si="1"/>
        <v>I</v>
      </c>
      <c r="C27" s="10">
        <f t="shared" si="2"/>
        <v>55807.498399999997</v>
      </c>
      <c r="D27" s="12" t="str">
        <f t="shared" si="3"/>
        <v>vis</v>
      </c>
      <c r="E27" s="47">
        <f>VLOOKUP(C27,Active!C$21:E$972,3,FALSE)</f>
        <v>20493.753057859652</v>
      </c>
      <c r="F27" s="3" t="s">
        <v>53</v>
      </c>
      <c r="G27" s="12" t="str">
        <f t="shared" si="4"/>
        <v>55807.4984</v>
      </c>
      <c r="H27" s="10">
        <f t="shared" si="5"/>
        <v>20494</v>
      </c>
      <c r="I27" s="48" t="s">
        <v>115</v>
      </c>
      <c r="J27" s="49" t="s">
        <v>116</v>
      </c>
      <c r="K27" s="48" t="s">
        <v>117</v>
      </c>
      <c r="L27" s="48" t="s">
        <v>118</v>
      </c>
      <c r="M27" s="49" t="s">
        <v>93</v>
      </c>
      <c r="N27" s="49" t="s">
        <v>94</v>
      </c>
      <c r="O27" s="50" t="s">
        <v>95</v>
      </c>
      <c r="P27" s="51" t="s">
        <v>119</v>
      </c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</sheetData>
  <phoneticPr fontId="8" type="noConversion"/>
  <hyperlinks>
    <hyperlink ref="P25" r:id="rId1" display="http://www.bav-astro.de/sfs/BAVM_link.php?BAVMnr=193"/>
    <hyperlink ref="P26" r:id="rId2" display="http://var.astro.cz/oejv/issues/oejv0137.pdf"/>
    <hyperlink ref="P11" r:id="rId3" display="http://var.astro.cz/oejv/issues/oejv0116.pdf"/>
    <hyperlink ref="P12" r:id="rId4" display="http://www.bav-astro.de/sfs/BAVM_link.php?BAVMnr=220"/>
    <hyperlink ref="P27" r:id="rId5" display="http://www.bav-astro.de/sfs/BAVM_link.php?BAVMnr=225"/>
    <hyperlink ref="P13" r:id="rId6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2023-08-14T04:51:48Z</dcterms:modified>
</cp:coreProperties>
</file>