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ADB671A-EDAD-48FB-BF03-BE7EA7B344AE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81" i="2" l="1"/>
  <c r="F81" i="2" s="1"/>
  <c r="G81" i="2" s="1"/>
  <c r="K81" i="2" s="1"/>
  <c r="Q81" i="2"/>
  <c r="Q80" i="2"/>
  <c r="G67" i="3"/>
  <c r="C67" i="3"/>
  <c r="G66" i="3"/>
  <c r="C66" i="3"/>
  <c r="G65" i="3"/>
  <c r="C65" i="3"/>
  <c r="G64" i="3"/>
  <c r="C64" i="3"/>
  <c r="G63" i="3"/>
  <c r="C63" i="3"/>
  <c r="G62" i="3"/>
  <c r="C62" i="3"/>
  <c r="G61" i="3"/>
  <c r="C61" i="3"/>
  <c r="G60" i="3"/>
  <c r="C60" i="3"/>
  <c r="G68" i="3"/>
  <c r="C68" i="3"/>
  <c r="E68" i="3"/>
  <c r="G59" i="3"/>
  <c r="C59" i="3"/>
  <c r="G58" i="3"/>
  <c r="C58" i="3"/>
  <c r="G57" i="3"/>
  <c r="C57" i="3"/>
  <c r="G56" i="3"/>
  <c r="C56" i="3"/>
  <c r="G55" i="3"/>
  <c r="C55" i="3"/>
  <c r="G54" i="3"/>
  <c r="C54" i="3"/>
  <c r="G53" i="3"/>
  <c r="C53" i="3"/>
  <c r="G52" i="3"/>
  <c r="C52" i="3"/>
  <c r="G51" i="3"/>
  <c r="C51" i="3"/>
  <c r="G50" i="3"/>
  <c r="C50" i="3"/>
  <c r="G49" i="3"/>
  <c r="C49" i="3"/>
  <c r="G48" i="3"/>
  <c r="C48" i="3"/>
  <c r="G47" i="3"/>
  <c r="C47" i="3"/>
  <c r="G46" i="3"/>
  <c r="C46" i="3"/>
  <c r="G45" i="3"/>
  <c r="C45" i="3"/>
  <c r="G44" i="3"/>
  <c r="C44" i="3"/>
  <c r="G43" i="3"/>
  <c r="C43" i="3"/>
  <c r="G42" i="3"/>
  <c r="C42" i="3"/>
  <c r="G41" i="3"/>
  <c r="C41" i="3"/>
  <c r="G40" i="3"/>
  <c r="C40" i="3"/>
  <c r="G39" i="3"/>
  <c r="C39" i="3"/>
  <c r="G38" i="3"/>
  <c r="C38" i="3"/>
  <c r="G37" i="3"/>
  <c r="C37" i="3"/>
  <c r="G36" i="3"/>
  <c r="C36" i="3"/>
  <c r="G35" i="3"/>
  <c r="C35" i="3"/>
  <c r="G34" i="3"/>
  <c r="C34" i="3"/>
  <c r="G33" i="3"/>
  <c r="C33" i="3"/>
  <c r="G32" i="3"/>
  <c r="C32" i="3"/>
  <c r="G31" i="3"/>
  <c r="C31" i="3"/>
  <c r="G30" i="3"/>
  <c r="C30" i="3"/>
  <c r="G29" i="3"/>
  <c r="C29" i="3"/>
  <c r="G28" i="3"/>
  <c r="C28" i="3"/>
  <c r="G27" i="3"/>
  <c r="C27" i="3"/>
  <c r="G26" i="3"/>
  <c r="C26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5" i="3"/>
  <c r="C15" i="3"/>
  <c r="G14" i="3"/>
  <c r="C14" i="3"/>
  <c r="G13" i="3"/>
  <c r="C13" i="3"/>
  <c r="G12" i="3"/>
  <c r="C12" i="3"/>
  <c r="G11" i="3"/>
  <c r="C11" i="3"/>
  <c r="H67" i="3"/>
  <c r="B67" i="3"/>
  <c r="D67" i="3"/>
  <c r="A67" i="3"/>
  <c r="H66" i="3"/>
  <c r="B66" i="3"/>
  <c r="D66" i="3"/>
  <c r="A66" i="3"/>
  <c r="H65" i="3"/>
  <c r="B65" i="3"/>
  <c r="D65" i="3"/>
  <c r="A65" i="3"/>
  <c r="H64" i="3"/>
  <c r="B64" i="3"/>
  <c r="D64" i="3"/>
  <c r="A64" i="3"/>
  <c r="H63" i="3"/>
  <c r="B63" i="3"/>
  <c r="D63" i="3"/>
  <c r="A63" i="3"/>
  <c r="H62" i="3"/>
  <c r="B62" i="3"/>
  <c r="D62" i="3"/>
  <c r="A62" i="3"/>
  <c r="H61" i="3"/>
  <c r="B61" i="3"/>
  <c r="D61" i="3"/>
  <c r="A61" i="3"/>
  <c r="H60" i="3"/>
  <c r="B60" i="3"/>
  <c r="D60" i="3"/>
  <c r="A60" i="3"/>
  <c r="H68" i="3"/>
  <c r="B68" i="3"/>
  <c r="D68" i="3"/>
  <c r="A68" i="3"/>
  <c r="H59" i="3"/>
  <c r="B59" i="3"/>
  <c r="D59" i="3"/>
  <c r="A59" i="3"/>
  <c r="H58" i="3"/>
  <c r="B58" i="3"/>
  <c r="D58" i="3"/>
  <c r="A58" i="3"/>
  <c r="H57" i="3"/>
  <c r="B57" i="3"/>
  <c r="D57" i="3"/>
  <c r="A57" i="3"/>
  <c r="H56" i="3"/>
  <c r="B56" i="3"/>
  <c r="D56" i="3"/>
  <c r="A56" i="3"/>
  <c r="H55" i="3"/>
  <c r="B55" i="3"/>
  <c r="D55" i="3"/>
  <c r="A55" i="3"/>
  <c r="H54" i="3"/>
  <c r="B54" i="3"/>
  <c r="D54" i="3"/>
  <c r="A54" i="3"/>
  <c r="H53" i="3"/>
  <c r="B53" i="3"/>
  <c r="D53" i="3"/>
  <c r="A53" i="3"/>
  <c r="H52" i="3"/>
  <c r="B52" i="3"/>
  <c r="D52" i="3"/>
  <c r="A52" i="3"/>
  <c r="H51" i="3"/>
  <c r="B51" i="3"/>
  <c r="D51" i="3"/>
  <c r="A51" i="3"/>
  <c r="H50" i="3"/>
  <c r="B50" i="3"/>
  <c r="D50" i="3"/>
  <c r="A50" i="3"/>
  <c r="H49" i="3"/>
  <c r="B49" i="3"/>
  <c r="D49" i="3"/>
  <c r="A49" i="3"/>
  <c r="H48" i="3"/>
  <c r="B48" i="3"/>
  <c r="D48" i="3"/>
  <c r="A48" i="3"/>
  <c r="H47" i="3"/>
  <c r="B47" i="3"/>
  <c r="D47" i="3"/>
  <c r="A47" i="3"/>
  <c r="H46" i="3"/>
  <c r="B46" i="3"/>
  <c r="D46" i="3"/>
  <c r="A46" i="3"/>
  <c r="H45" i="3"/>
  <c r="B45" i="3"/>
  <c r="D45" i="3"/>
  <c r="A45" i="3"/>
  <c r="H44" i="3"/>
  <c r="B44" i="3"/>
  <c r="D44" i="3"/>
  <c r="A44" i="3"/>
  <c r="H43" i="3"/>
  <c r="B43" i="3"/>
  <c r="D43" i="3"/>
  <c r="A43" i="3"/>
  <c r="H42" i="3"/>
  <c r="B42" i="3"/>
  <c r="D42" i="3"/>
  <c r="A42" i="3"/>
  <c r="H41" i="3"/>
  <c r="B41" i="3"/>
  <c r="D41" i="3"/>
  <c r="A41" i="3"/>
  <c r="H40" i="3"/>
  <c r="B40" i="3"/>
  <c r="D40" i="3"/>
  <c r="A40" i="3"/>
  <c r="H39" i="3"/>
  <c r="B39" i="3"/>
  <c r="D39" i="3"/>
  <c r="A39" i="3"/>
  <c r="H38" i="3"/>
  <c r="B38" i="3"/>
  <c r="D38" i="3"/>
  <c r="A38" i="3"/>
  <c r="H37" i="3"/>
  <c r="B37" i="3"/>
  <c r="D37" i="3"/>
  <c r="A37" i="3"/>
  <c r="H36" i="3"/>
  <c r="B36" i="3"/>
  <c r="D36" i="3"/>
  <c r="A36" i="3"/>
  <c r="H35" i="3"/>
  <c r="B35" i="3"/>
  <c r="D35" i="3"/>
  <c r="A35" i="3"/>
  <c r="H34" i="3"/>
  <c r="B34" i="3"/>
  <c r="D34" i="3"/>
  <c r="A34" i="3"/>
  <c r="H33" i="3"/>
  <c r="B33" i="3"/>
  <c r="D33" i="3"/>
  <c r="A33" i="3"/>
  <c r="H32" i="3"/>
  <c r="B32" i="3"/>
  <c r="D32" i="3"/>
  <c r="A32" i="3"/>
  <c r="H31" i="3"/>
  <c r="B31" i="3"/>
  <c r="D31" i="3"/>
  <c r="A31" i="3"/>
  <c r="H30" i="3"/>
  <c r="B30" i="3"/>
  <c r="D30" i="3"/>
  <c r="A30" i="3"/>
  <c r="H29" i="3"/>
  <c r="B29" i="3"/>
  <c r="D29" i="3"/>
  <c r="A29" i="3"/>
  <c r="H28" i="3"/>
  <c r="B28" i="3"/>
  <c r="D28" i="3"/>
  <c r="A28" i="3"/>
  <c r="H27" i="3"/>
  <c r="B27" i="3"/>
  <c r="D27" i="3"/>
  <c r="A27" i="3"/>
  <c r="H26" i="3"/>
  <c r="B26" i="3"/>
  <c r="D26" i="3"/>
  <c r="A26" i="3"/>
  <c r="H25" i="3"/>
  <c r="B25" i="3"/>
  <c r="D25" i="3"/>
  <c r="A25" i="3"/>
  <c r="H24" i="3"/>
  <c r="B24" i="3"/>
  <c r="D24" i="3"/>
  <c r="A24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H13" i="3"/>
  <c r="B13" i="3"/>
  <c r="D13" i="3"/>
  <c r="A13" i="3"/>
  <c r="H12" i="3"/>
  <c r="B12" i="3"/>
  <c r="D12" i="3"/>
  <c r="A12" i="3"/>
  <c r="H11" i="3"/>
  <c r="B11" i="3"/>
  <c r="D11" i="3"/>
  <c r="A11" i="3"/>
  <c r="E71" i="2"/>
  <c r="F71" i="2" s="1"/>
  <c r="G71" i="2" s="1"/>
  <c r="K71" i="2" s="1"/>
  <c r="C9" i="2"/>
  <c r="D9" i="2"/>
  <c r="Q74" i="2"/>
  <c r="Q78" i="2"/>
  <c r="Q79" i="2"/>
  <c r="Q73" i="2"/>
  <c r="Q75" i="2"/>
  <c r="Q76" i="2"/>
  <c r="Q77" i="2"/>
  <c r="E22" i="2"/>
  <c r="F22" i="2" s="1"/>
  <c r="G22" i="2" s="1"/>
  <c r="H22" i="2" s="1"/>
  <c r="F16" i="2"/>
  <c r="C17" i="2"/>
  <c r="Q72" i="2"/>
  <c r="Q71" i="2"/>
  <c r="Q7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E22" i="1"/>
  <c r="F22" i="1"/>
  <c r="G22" i="1"/>
  <c r="H22" i="1"/>
  <c r="E23" i="1"/>
  <c r="F23" i="1"/>
  <c r="E25" i="1"/>
  <c r="F25" i="1"/>
  <c r="G25" i="1"/>
  <c r="I25" i="1"/>
  <c r="E27" i="1"/>
  <c r="F27" i="1"/>
  <c r="G27" i="1"/>
  <c r="I27" i="1"/>
  <c r="E29" i="1"/>
  <c r="F29" i="1"/>
  <c r="E31" i="1"/>
  <c r="F31" i="1"/>
  <c r="G31" i="1"/>
  <c r="I31" i="1"/>
  <c r="E32" i="1"/>
  <c r="F32" i="1"/>
  <c r="Q28" i="1"/>
  <c r="Q29" i="1"/>
  <c r="Q30" i="1"/>
  <c r="Q31" i="1"/>
  <c r="Q32" i="1"/>
  <c r="Q33" i="1"/>
  <c r="E34" i="1"/>
  <c r="F34" i="1"/>
  <c r="Q34" i="1"/>
  <c r="E35" i="1"/>
  <c r="F35" i="1"/>
  <c r="G35" i="1"/>
  <c r="I35" i="1"/>
  <c r="Q35" i="1"/>
  <c r="G36" i="1"/>
  <c r="I36" i="1"/>
  <c r="Q36" i="1"/>
  <c r="Q37" i="1"/>
  <c r="E38" i="1"/>
  <c r="F38" i="1"/>
  <c r="Q38" i="1"/>
  <c r="E39" i="1"/>
  <c r="F39" i="1"/>
  <c r="G39" i="1"/>
  <c r="I39" i="1"/>
  <c r="Q39" i="1"/>
  <c r="Q40" i="1"/>
  <c r="Q41" i="1"/>
  <c r="E42" i="1"/>
  <c r="F42" i="1"/>
  <c r="Q42" i="1"/>
  <c r="E43" i="1"/>
  <c r="F43" i="1"/>
  <c r="G43" i="1"/>
  <c r="I43" i="1"/>
  <c r="Q43" i="1"/>
  <c r="Q44" i="1"/>
  <c r="Q45" i="1"/>
  <c r="E46" i="1"/>
  <c r="F46" i="1"/>
  <c r="Q46" i="1"/>
  <c r="E47" i="1"/>
  <c r="F47" i="1"/>
  <c r="G47" i="1"/>
  <c r="I47" i="1"/>
  <c r="Q47" i="1"/>
  <c r="Q48" i="1"/>
  <c r="Q49" i="1"/>
  <c r="E50" i="1"/>
  <c r="F50" i="1"/>
  <c r="Q50" i="1"/>
  <c r="E51" i="1"/>
  <c r="F51" i="1"/>
  <c r="G51" i="1"/>
  <c r="I51" i="1"/>
  <c r="Q51" i="1"/>
  <c r="Q52" i="1"/>
  <c r="Q53" i="1"/>
  <c r="E54" i="1"/>
  <c r="F54" i="1"/>
  <c r="Q54" i="1"/>
  <c r="E55" i="1"/>
  <c r="F55" i="1"/>
  <c r="G55" i="1"/>
  <c r="I55" i="1"/>
  <c r="Q55" i="1"/>
  <c r="Q21" i="1"/>
  <c r="Q23" i="1"/>
  <c r="Q24" i="1"/>
  <c r="Q25" i="1"/>
  <c r="Q26" i="1"/>
  <c r="Q27" i="1"/>
  <c r="E56" i="1"/>
  <c r="F56" i="1"/>
  <c r="Q56" i="1"/>
  <c r="Q57" i="1"/>
  <c r="E58" i="1"/>
  <c r="F58" i="1"/>
  <c r="G58" i="1"/>
  <c r="J58" i="1"/>
  <c r="Q58" i="1"/>
  <c r="Q59" i="1"/>
  <c r="E60" i="1"/>
  <c r="F60" i="1"/>
  <c r="Q60" i="1"/>
  <c r="Q61" i="1"/>
  <c r="E62" i="1"/>
  <c r="F62" i="1"/>
  <c r="G62" i="1"/>
  <c r="J62" i="1"/>
  <c r="Q62" i="1"/>
  <c r="Q63" i="1"/>
  <c r="E64" i="1"/>
  <c r="F64" i="1"/>
  <c r="Q64" i="1"/>
  <c r="Q65" i="1"/>
  <c r="E66" i="1"/>
  <c r="F66" i="1"/>
  <c r="G66" i="1"/>
  <c r="J66" i="1"/>
  <c r="Q66" i="1"/>
  <c r="Q67" i="1"/>
  <c r="E68" i="1"/>
  <c r="F68" i="1"/>
  <c r="Q68" i="1"/>
  <c r="Q69" i="1"/>
  <c r="G60" i="1"/>
  <c r="J60" i="1"/>
  <c r="G64" i="1"/>
  <c r="J64" i="1"/>
  <c r="G68" i="1"/>
  <c r="K68" i="1"/>
  <c r="G56" i="1"/>
  <c r="C7" i="1"/>
  <c r="E28" i="1"/>
  <c r="F28" i="1"/>
  <c r="G28" i="1"/>
  <c r="I28" i="1"/>
  <c r="C8" i="1"/>
  <c r="E36" i="1"/>
  <c r="F36" i="1"/>
  <c r="C18" i="1"/>
  <c r="Q22" i="1"/>
  <c r="J56" i="1"/>
  <c r="E21" i="1"/>
  <c r="F21" i="1"/>
  <c r="G21" i="1"/>
  <c r="I21" i="1"/>
  <c r="E24" i="1"/>
  <c r="F24" i="1"/>
  <c r="G24" i="1"/>
  <c r="I24" i="1"/>
  <c r="E69" i="1"/>
  <c r="F69" i="1"/>
  <c r="G69" i="1"/>
  <c r="J69" i="1"/>
  <c r="E67" i="1"/>
  <c r="F67" i="1"/>
  <c r="G67" i="1"/>
  <c r="J67" i="1"/>
  <c r="E65" i="1"/>
  <c r="F65" i="1"/>
  <c r="G65" i="1"/>
  <c r="J65" i="1"/>
  <c r="E63" i="1"/>
  <c r="F63" i="1"/>
  <c r="G63" i="1"/>
  <c r="J63" i="1"/>
  <c r="E61" i="1"/>
  <c r="F61" i="1"/>
  <c r="G61" i="1"/>
  <c r="J61" i="1"/>
  <c r="E59" i="1"/>
  <c r="F59" i="1"/>
  <c r="G59" i="1"/>
  <c r="E57" i="1"/>
  <c r="F57" i="1"/>
  <c r="G57" i="1"/>
  <c r="J57" i="1"/>
  <c r="G32" i="1"/>
  <c r="I32" i="1"/>
  <c r="E30" i="1"/>
  <c r="F30" i="1"/>
  <c r="G30" i="1"/>
  <c r="I30" i="1"/>
  <c r="G23" i="1"/>
  <c r="I23" i="1"/>
  <c r="E80" i="2"/>
  <c r="F80" i="2" s="1"/>
  <c r="G80" i="2" s="1"/>
  <c r="K80" i="2" s="1"/>
  <c r="E79" i="2"/>
  <c r="F79" i="2" s="1"/>
  <c r="G79" i="2" s="1"/>
  <c r="K79" i="2" s="1"/>
  <c r="E78" i="2"/>
  <c r="F78" i="2"/>
  <c r="G78" i="2" s="1"/>
  <c r="J78" i="2" s="1"/>
  <c r="E76" i="2"/>
  <c r="F76" i="2"/>
  <c r="G76" i="2" s="1"/>
  <c r="J76" i="2" s="1"/>
  <c r="E74" i="2"/>
  <c r="F74" i="2" s="1"/>
  <c r="G74" i="2" s="1"/>
  <c r="J74" i="2" s="1"/>
  <c r="E69" i="2"/>
  <c r="F69" i="2"/>
  <c r="E67" i="2"/>
  <c r="F67" i="2"/>
  <c r="G67" i="2" s="1"/>
  <c r="K67" i="2" s="1"/>
  <c r="E65" i="2"/>
  <c r="F65" i="2" s="1"/>
  <c r="G65" i="2" s="1"/>
  <c r="J65" i="2" s="1"/>
  <c r="E63" i="2"/>
  <c r="F63" i="2"/>
  <c r="G63" i="2" s="1"/>
  <c r="J63" i="2" s="1"/>
  <c r="E61" i="2"/>
  <c r="F61" i="2" s="1"/>
  <c r="G61" i="2" s="1"/>
  <c r="J61" i="2" s="1"/>
  <c r="E59" i="2"/>
  <c r="F59" i="2"/>
  <c r="G59" i="2" s="1"/>
  <c r="J59" i="2" s="1"/>
  <c r="E57" i="2"/>
  <c r="F57" i="2" s="1"/>
  <c r="G57" i="2" s="1"/>
  <c r="J57" i="2" s="1"/>
  <c r="E55" i="2"/>
  <c r="F55" i="2"/>
  <c r="G55" i="2" s="1"/>
  <c r="I55" i="2" s="1"/>
  <c r="E53" i="2"/>
  <c r="F53" i="2" s="1"/>
  <c r="G53" i="2" s="1"/>
  <c r="I53" i="2" s="1"/>
  <c r="E51" i="2"/>
  <c r="F51" i="2" s="1"/>
  <c r="G51" i="2" s="1"/>
  <c r="I51" i="2" s="1"/>
  <c r="E49" i="2"/>
  <c r="F49" i="2"/>
  <c r="G49" i="2" s="1"/>
  <c r="I49" i="2" s="1"/>
  <c r="E47" i="2"/>
  <c r="F47" i="2" s="1"/>
  <c r="G47" i="2" s="1"/>
  <c r="I47" i="2" s="1"/>
  <c r="E45" i="2"/>
  <c r="F45" i="2"/>
  <c r="G45" i="2" s="1"/>
  <c r="I45" i="2" s="1"/>
  <c r="E43" i="2"/>
  <c r="F43" i="2" s="1"/>
  <c r="G43" i="2" s="1"/>
  <c r="I43" i="2" s="1"/>
  <c r="E41" i="2"/>
  <c r="F41" i="2"/>
  <c r="G41" i="2" s="1"/>
  <c r="I41" i="2" s="1"/>
  <c r="E39" i="2"/>
  <c r="F39" i="2" s="1"/>
  <c r="G39" i="2" s="1"/>
  <c r="I39" i="2" s="1"/>
  <c r="E37" i="2"/>
  <c r="F37" i="2"/>
  <c r="E35" i="2"/>
  <c r="F35" i="2"/>
  <c r="G35" i="2" s="1"/>
  <c r="I35" i="2" s="1"/>
  <c r="E33" i="2"/>
  <c r="F33" i="2" s="1"/>
  <c r="G33" i="2" s="1"/>
  <c r="I33" i="2" s="1"/>
  <c r="E31" i="2"/>
  <c r="F31" i="2"/>
  <c r="G31" i="2" s="1"/>
  <c r="I31" i="2" s="1"/>
  <c r="E29" i="2"/>
  <c r="F29" i="2" s="1"/>
  <c r="G29" i="2" s="1"/>
  <c r="I29" i="2" s="1"/>
  <c r="E27" i="2"/>
  <c r="F27" i="2"/>
  <c r="G27" i="2" s="1"/>
  <c r="I27" i="2" s="1"/>
  <c r="E25" i="2"/>
  <c r="F25" i="2" s="1"/>
  <c r="G25" i="2" s="1"/>
  <c r="I25" i="2" s="1"/>
  <c r="E23" i="2"/>
  <c r="F23" i="2"/>
  <c r="G23" i="2" s="1"/>
  <c r="I23" i="2" s="1"/>
  <c r="E72" i="2"/>
  <c r="F72" i="2" s="1"/>
  <c r="G72" i="2" s="1"/>
  <c r="K72" i="2" s="1"/>
  <c r="E77" i="2"/>
  <c r="F77" i="2" s="1"/>
  <c r="G77" i="2" s="1"/>
  <c r="J77" i="2" s="1"/>
  <c r="E75" i="2"/>
  <c r="F75" i="2"/>
  <c r="G75" i="2" s="1"/>
  <c r="J75" i="2" s="1"/>
  <c r="E73" i="2"/>
  <c r="F73" i="2"/>
  <c r="G73" i="2" s="1"/>
  <c r="J73" i="2" s="1"/>
  <c r="E70" i="2"/>
  <c r="F70" i="2" s="1"/>
  <c r="G70" i="2" s="1"/>
  <c r="J70" i="2" s="1"/>
  <c r="E68" i="2"/>
  <c r="F68" i="2"/>
  <c r="G68" i="2" s="1"/>
  <c r="K68" i="2" s="1"/>
  <c r="E66" i="2"/>
  <c r="F66" i="2" s="1"/>
  <c r="G66" i="2" s="1"/>
  <c r="J66" i="2" s="1"/>
  <c r="E64" i="2"/>
  <c r="F64" i="2" s="1"/>
  <c r="G64" i="2" s="1"/>
  <c r="J64" i="2" s="1"/>
  <c r="E62" i="2"/>
  <c r="F62" i="2"/>
  <c r="G62" i="2" s="1"/>
  <c r="J62" i="2" s="1"/>
  <c r="E60" i="2"/>
  <c r="F60" i="2" s="1"/>
  <c r="G60" i="2" s="1"/>
  <c r="J60" i="2" s="1"/>
  <c r="E58" i="2"/>
  <c r="F58" i="2"/>
  <c r="G58" i="2" s="1"/>
  <c r="J58" i="2" s="1"/>
  <c r="E56" i="2"/>
  <c r="F56" i="2" s="1"/>
  <c r="G56" i="2" s="1"/>
  <c r="J56" i="2" s="1"/>
  <c r="E54" i="2"/>
  <c r="F54" i="2"/>
  <c r="G54" i="2"/>
  <c r="I54" i="2" s="1"/>
  <c r="E52" i="2"/>
  <c r="F52" i="2" s="1"/>
  <c r="G52" i="2" s="1"/>
  <c r="I52" i="2" s="1"/>
  <c r="E50" i="2"/>
  <c r="F50" i="2"/>
  <c r="G50" i="2" s="1"/>
  <c r="I50" i="2" s="1"/>
  <c r="E48" i="2"/>
  <c r="F48" i="2"/>
  <c r="G48" i="2" s="1"/>
  <c r="I48" i="2" s="1"/>
  <c r="E46" i="2"/>
  <c r="E35" i="3" s="1"/>
  <c r="E44" i="2"/>
  <c r="F44" i="2"/>
  <c r="G44" i="2" s="1"/>
  <c r="I44" i="2" s="1"/>
  <c r="E42" i="2"/>
  <c r="F42" i="2" s="1"/>
  <c r="G42" i="2" s="1"/>
  <c r="I42" i="2" s="1"/>
  <c r="E40" i="2"/>
  <c r="F40" i="2"/>
  <c r="G40" i="2" s="1"/>
  <c r="I40" i="2" s="1"/>
  <c r="E38" i="2"/>
  <c r="F38" i="2" s="1"/>
  <c r="G38" i="2" s="1"/>
  <c r="I38" i="2" s="1"/>
  <c r="E36" i="2"/>
  <c r="F36" i="2"/>
  <c r="G36" i="2" s="1"/>
  <c r="I36" i="2" s="1"/>
  <c r="E34" i="2"/>
  <c r="F34" i="2" s="1"/>
  <c r="G34" i="2" s="1"/>
  <c r="I34" i="2" s="1"/>
  <c r="E32" i="2"/>
  <c r="F32" i="2" s="1"/>
  <c r="G32" i="2" s="1"/>
  <c r="I32" i="2" s="1"/>
  <c r="E30" i="2"/>
  <c r="F30" i="2"/>
  <c r="G30" i="2"/>
  <c r="I30" i="2" s="1"/>
  <c r="E28" i="2"/>
  <c r="F28" i="2" s="1"/>
  <c r="G28" i="2" s="1"/>
  <c r="I28" i="2" s="1"/>
  <c r="E26" i="2"/>
  <c r="F26" i="2"/>
  <c r="E24" i="2"/>
  <c r="F24" i="2" s="1"/>
  <c r="G24" i="2" s="1"/>
  <c r="I24" i="2" s="1"/>
  <c r="E21" i="2"/>
  <c r="F21" i="2"/>
  <c r="G21" i="2" s="1"/>
  <c r="I21" i="2" s="1"/>
  <c r="G69" i="2"/>
  <c r="J69" i="2" s="1"/>
  <c r="G26" i="2"/>
  <c r="I26" i="2" s="1"/>
  <c r="G37" i="2"/>
  <c r="I37" i="2" s="1"/>
  <c r="E23" i="3"/>
  <c r="E39" i="3"/>
  <c r="E47" i="3"/>
  <c r="E55" i="3"/>
  <c r="E61" i="3"/>
  <c r="E52" i="1"/>
  <c r="F52" i="1"/>
  <c r="G52" i="1"/>
  <c r="I52" i="1"/>
  <c r="E48" i="1"/>
  <c r="F48" i="1"/>
  <c r="G48" i="1"/>
  <c r="I48" i="1"/>
  <c r="E44" i="1"/>
  <c r="F44" i="1"/>
  <c r="G44" i="1"/>
  <c r="I44" i="1"/>
  <c r="E40" i="1"/>
  <c r="F40" i="1"/>
  <c r="G40" i="1"/>
  <c r="I40" i="1"/>
  <c r="G54" i="1"/>
  <c r="I54" i="1"/>
  <c r="E53" i="1"/>
  <c r="F53" i="1"/>
  <c r="G53" i="1"/>
  <c r="I53" i="1"/>
  <c r="G50" i="1"/>
  <c r="I50" i="1"/>
  <c r="E49" i="1"/>
  <c r="F49" i="1"/>
  <c r="G49" i="1"/>
  <c r="I49" i="1"/>
  <c r="G46" i="1"/>
  <c r="I46" i="1"/>
  <c r="E45" i="1"/>
  <c r="F45" i="1"/>
  <c r="G45" i="1"/>
  <c r="I45" i="1"/>
  <c r="G42" i="1"/>
  <c r="I42" i="1"/>
  <c r="E41" i="1"/>
  <c r="F41" i="1"/>
  <c r="G41" i="1"/>
  <c r="I41" i="1"/>
  <c r="G38" i="1"/>
  <c r="I38" i="1"/>
  <c r="E37" i="1"/>
  <c r="F37" i="1"/>
  <c r="G37" i="1"/>
  <c r="I37" i="1"/>
  <c r="G34" i="1"/>
  <c r="I34" i="1"/>
  <c r="E33" i="1"/>
  <c r="F33" i="1"/>
  <c r="G33" i="1"/>
  <c r="I33" i="1"/>
  <c r="G29" i="1"/>
  <c r="I29" i="1"/>
  <c r="E26" i="1"/>
  <c r="F26" i="1"/>
  <c r="G26" i="1"/>
  <c r="I26" i="1"/>
  <c r="E16" i="3"/>
  <c r="E24" i="3"/>
  <c r="E32" i="3"/>
  <c r="E40" i="3"/>
  <c r="E62" i="3"/>
  <c r="E17" i="3"/>
  <c r="E25" i="3"/>
  <c r="E33" i="3"/>
  <c r="E49" i="3"/>
  <c r="E57" i="3"/>
  <c r="E26" i="3"/>
  <c r="E34" i="3"/>
  <c r="E42" i="3"/>
  <c r="E50" i="3"/>
  <c r="E58" i="3"/>
  <c r="E27" i="3"/>
  <c r="E43" i="3"/>
  <c r="E51" i="3"/>
  <c r="E59" i="3"/>
  <c r="E65" i="3"/>
  <c r="E12" i="3"/>
  <c r="E28" i="3"/>
  <c r="E36" i="3"/>
  <c r="E44" i="3"/>
  <c r="E52" i="3"/>
  <c r="E66" i="3"/>
  <c r="E37" i="3"/>
  <c r="E45" i="3"/>
  <c r="E53" i="3"/>
  <c r="E67" i="3"/>
  <c r="E14" i="3"/>
  <c r="E46" i="3"/>
  <c r="E54" i="3"/>
  <c r="E60" i="3"/>
  <c r="J59" i="1"/>
  <c r="C11" i="1"/>
  <c r="C12" i="1"/>
  <c r="C16" i="1"/>
  <c r="D18" i="1"/>
  <c r="E29" i="3"/>
  <c r="E30" i="3"/>
  <c r="E11" i="3"/>
  <c r="E63" i="3"/>
  <c r="E56" i="3"/>
  <c r="E38" i="3"/>
  <c r="E19" i="3"/>
  <c r="E18" i="3"/>
  <c r="E31" i="3"/>
  <c r="E22" i="3"/>
  <c r="E64" i="3"/>
  <c r="E48" i="3"/>
  <c r="E15" i="3"/>
  <c r="E20" i="3"/>
  <c r="O38" i="1"/>
  <c r="O42" i="1"/>
  <c r="O46" i="1"/>
  <c r="O50" i="1"/>
  <c r="O26" i="1"/>
  <c r="O30" i="1"/>
  <c r="O35" i="1"/>
  <c r="O39" i="1"/>
  <c r="O43" i="1"/>
  <c r="O47" i="1"/>
  <c r="O51" i="1"/>
  <c r="O55" i="1"/>
  <c r="O25" i="1"/>
  <c r="O34" i="1"/>
  <c r="O54" i="1"/>
  <c r="O28" i="1"/>
  <c r="O31" i="1"/>
  <c r="O37" i="1"/>
  <c r="O32" i="1"/>
  <c r="O58" i="1"/>
  <c r="O61" i="1"/>
  <c r="O66" i="1"/>
  <c r="O69" i="1"/>
  <c r="O49" i="1"/>
  <c r="O27" i="1"/>
  <c r="O29" i="1"/>
  <c r="O33" i="1"/>
  <c r="O44" i="1"/>
  <c r="O53" i="1"/>
  <c r="O56" i="1"/>
  <c r="O67" i="1"/>
  <c r="O45" i="1"/>
  <c r="O40" i="1"/>
  <c r="O23" i="1"/>
  <c r="O57" i="1"/>
  <c r="O62" i="1"/>
  <c r="O65" i="1"/>
  <c r="O36" i="1"/>
  <c r="O41" i="1"/>
  <c r="O68" i="1"/>
  <c r="O64" i="1"/>
  <c r="O52" i="1"/>
  <c r="O24" i="1"/>
  <c r="O60" i="1"/>
  <c r="O63" i="1"/>
  <c r="O48" i="1"/>
  <c r="O59" i="1"/>
  <c r="C11" i="2"/>
  <c r="C12" i="2"/>
  <c r="E13" i="3" l="1"/>
  <c r="F46" i="2"/>
  <c r="G46" i="2" s="1"/>
  <c r="I46" i="2" s="1"/>
  <c r="E21" i="3"/>
  <c r="E41" i="3"/>
  <c r="O81" i="2"/>
  <c r="C16" i="2"/>
  <c r="D18" i="2" s="1"/>
  <c r="O70" i="2"/>
  <c r="O43" i="2"/>
  <c r="O72" i="2"/>
  <c r="O27" i="2"/>
  <c r="O69" i="2"/>
  <c r="O60" i="2"/>
  <c r="O49" i="2"/>
  <c r="O79" i="2"/>
  <c r="O28" i="2"/>
  <c r="O31" i="2"/>
  <c r="O26" i="2"/>
  <c r="O46" i="2"/>
  <c r="O23" i="2"/>
  <c r="O33" i="2"/>
  <c r="C15" i="2"/>
  <c r="F18" i="2" s="1"/>
  <c r="O63" i="2"/>
  <c r="O55" i="2"/>
  <c r="O34" i="2"/>
  <c r="O78" i="2"/>
  <c r="O30" i="2"/>
  <c r="O36" i="2"/>
  <c r="O48" i="2"/>
  <c r="O40" i="2"/>
  <c r="O38" i="2"/>
  <c r="O68" i="2"/>
  <c r="O75" i="2"/>
  <c r="O71" i="2"/>
  <c r="O80" i="2"/>
  <c r="O42" i="2"/>
  <c r="O76" i="2"/>
  <c r="O56" i="2"/>
  <c r="O39" i="2"/>
  <c r="O51" i="2"/>
  <c r="O29" i="2"/>
  <c r="O32" i="2"/>
  <c r="O74" i="2"/>
  <c r="O41" i="2"/>
  <c r="O59" i="2"/>
  <c r="O45" i="2"/>
  <c r="O54" i="2"/>
  <c r="O67" i="2"/>
  <c r="O61" i="2"/>
  <c r="O37" i="2"/>
  <c r="O64" i="2"/>
  <c r="O50" i="2"/>
  <c r="O25" i="2"/>
  <c r="O47" i="2"/>
  <c r="O53" i="2"/>
  <c r="O57" i="2"/>
  <c r="O73" i="2"/>
  <c r="O58" i="2"/>
  <c r="O44" i="2"/>
  <c r="O62" i="2"/>
  <c r="O65" i="2"/>
  <c r="O24" i="2"/>
  <c r="O52" i="2"/>
  <c r="O66" i="2"/>
  <c r="O77" i="2"/>
  <c r="O35" i="2"/>
  <c r="F17" i="2"/>
  <c r="C18" i="2" l="1"/>
  <c r="F19" i="2"/>
</calcChain>
</file>

<file path=xl/sharedStrings.xml><?xml version="1.0" encoding="utf-8"?>
<sst xmlns="http://schemas.openxmlformats.org/spreadsheetml/2006/main" count="681" uniqueCount="291">
  <si>
    <t>IBVS 6196</t>
  </si>
  <si>
    <t>0.0032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</si>
  <si>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</si>
  <si>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</si>
  <si>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</si>
  <si>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</si>
  <si>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</si>
  <si>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</si>
  <si>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</si>
  <si>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</si>
  <si>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</si>
  <si>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</si>
  <si>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</si>
  <si>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</si>
  <si>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</si>
  <si>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</si>
  <si>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</si>
  <si>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</si>
  <si>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</si>
  <si>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</si>
  <si>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</si>
  <si>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</si>
  <si>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</si>
  <si>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</si>
  <si>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</si>
  <si>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</si>
  <si>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</si>
  <si>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</si>
  <si>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S5</t>
  </si>
  <si>
    <t>S6</t>
  </si>
  <si>
    <t>Misc</t>
  </si>
  <si>
    <t>IBVS</t>
  </si>
  <si>
    <t>IP Cep</t>
  </si>
  <si>
    <t>Sp:  na</t>
  </si>
  <si>
    <t>EW</t>
  </si>
  <si>
    <t>IBVS 5016</t>
  </si>
  <si>
    <t>I</t>
  </si>
  <si>
    <t>II</t>
  </si>
  <si>
    <t>IBVS 5296</t>
  </si>
  <si>
    <t>IBVS 5438</t>
  </si>
  <si>
    <t>Krajci, private comm</t>
  </si>
  <si>
    <t>IBVS 5543</t>
  </si>
  <si>
    <t>L.Meinunger MVS 5.131</t>
  </si>
  <si>
    <t>L.Meinunger MVS 5.132</t>
  </si>
  <si>
    <t>Krajci</t>
  </si>
  <si>
    <t>Meinunger</t>
  </si>
  <si>
    <t># of data points: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</si>
  <si>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</si>
  <si>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</si>
  <si>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</si>
  <si>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</si>
  <si>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</si>
  <si>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</si>
  <si>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</si>
  <si>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5592</t>
  </si>
  <si>
    <t>OEJV 0107</t>
  </si>
  <si>
    <t>IBVS 5920</t>
  </si>
  <si>
    <t>Add cycle</t>
  </si>
  <si>
    <t>Old Cycle</t>
  </si>
  <si>
    <t>IBVS 6010</t>
  </si>
  <si>
    <t>IBVS 6042</t>
  </si>
  <si>
    <t>IBVS 6070</t>
  </si>
  <si>
    <t>IP Cep / GSC 4462-1480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</si>
  <si>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</si>
  <si>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</si>
  <si>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</si>
  <si>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</si>
  <si>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</si>
  <si>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</si>
  <si>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</si>
  <si>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</si>
  <si>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</si>
  <si>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</si>
  <si>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</si>
  <si>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</si>
  <si>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</si>
  <si>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2429495.471 </t>
  </si>
  <si>
    <t> 19.08.1939 23:18 </t>
  </si>
  <si>
    <t> -0.099 </t>
  </si>
  <si>
    <t>P </t>
  </si>
  <si>
    <t> L.Meinunger </t>
  </si>
  <si>
    <t> MVS 5.131 </t>
  </si>
  <si>
    <t>2433928.490 </t>
  </si>
  <si>
    <t> 08.10.1951 23:45 </t>
  </si>
  <si>
    <t> 0.093 </t>
  </si>
  <si>
    <t>2434455.566 </t>
  </si>
  <si>
    <t> 19.03.1953 01:35 </t>
  </si>
  <si>
    <t> -0.024 </t>
  </si>
  <si>
    <t>2436480.349 </t>
  </si>
  <si>
    <t> 03.10.1958 20:22 </t>
  </si>
  <si>
    <t> 0.032 </t>
  </si>
  <si>
    <t>2436754.506 </t>
  </si>
  <si>
    <t> 05.07.1959 00:08 </t>
  </si>
  <si>
    <t> 0.031 </t>
  </si>
  <si>
    <t>2436812.478 </t>
  </si>
  <si>
    <t> 31.08.1959 23:28 </t>
  </si>
  <si>
    <t> 0.025 </t>
  </si>
  <si>
    <t>2436839.406 </t>
  </si>
  <si>
    <t> 27.09.1959 21:44 </t>
  </si>
  <si>
    <t> -0.014 </t>
  </si>
  <si>
    <t>2438237.600 </t>
  </si>
  <si>
    <t> 27.07.1963 02:24 </t>
  </si>
  <si>
    <t> -0.027 </t>
  </si>
  <si>
    <t>2438238.540 </t>
  </si>
  <si>
    <t> 28.07.1963 00:57 </t>
  </si>
  <si>
    <t> 0.014 </t>
  </si>
  <si>
    <t>2438239.420 </t>
  </si>
  <si>
    <t> 28.07.1963 22:04 </t>
  </si>
  <si>
    <t> -0.005 </t>
  </si>
  <si>
    <t>2438242.520 </t>
  </si>
  <si>
    <t> 01.08.1963 00:28 </t>
  </si>
  <si>
    <t> -0.051 </t>
  </si>
  <si>
    <t> MVS 5.132 </t>
  </si>
  <si>
    <t>2438243.467 </t>
  </si>
  <si>
    <t> 01.08.1963 23:12 </t>
  </si>
  <si>
    <t>2438268.600 </t>
  </si>
  <si>
    <t> 27.08.1963 02:24 </t>
  </si>
  <si>
    <t> -0.039 </t>
  </si>
  <si>
    <t>2438284.370 </t>
  </si>
  <si>
    <t> 11.09.1963 20:52 </t>
  </si>
  <si>
    <t> 0.001 </t>
  </si>
  <si>
    <t>2438287.450 </t>
  </si>
  <si>
    <t> 14.09.1963 22:48 </t>
  </si>
  <si>
    <t> -0.065 </t>
  </si>
  <si>
    <t>2438311.340 </t>
  </si>
  <si>
    <t> 08.10.1963 20:09 </t>
  </si>
  <si>
    <t> 0.004 </t>
  </si>
  <si>
    <t>2438315.440 </t>
  </si>
  <si>
    <t> 12.10.1963 22:33 </t>
  </si>
  <si>
    <t> 0.059 </t>
  </si>
  <si>
    <t>2438616.510 </t>
  </si>
  <si>
    <t> 09.08.1964 00:14 </t>
  </si>
  <si>
    <t> 0.005 </t>
  </si>
  <si>
    <t>2438640.280 </t>
  </si>
  <si>
    <t> 01.09.1964 18:43 </t>
  </si>
  <si>
    <t> -0.046 </t>
  </si>
  <si>
    <t>2438651.570 </t>
  </si>
  <si>
    <t> 13.09.1964 01:40 </t>
  </si>
  <si>
    <t> 0.008 </t>
  </si>
  <si>
    <t>2438652.440 </t>
  </si>
  <si>
    <t> 13.09.1964 22:33 </t>
  </si>
  <si>
    <t> -0.021 </t>
  </si>
  <si>
    <t>2438998.481 </t>
  </si>
  <si>
    <t> 25.08.1965 23:32 </t>
  </si>
  <si>
    <t> -0.048 </t>
  </si>
  <si>
    <t>2439053.389 </t>
  </si>
  <si>
    <t> 19.10.1965 21:20 </t>
  </si>
  <si>
    <t> 0.028 </t>
  </si>
  <si>
    <t>2439142.306 </t>
  </si>
  <si>
    <t> 16.01.1966 19:20 </t>
  </si>
  <si>
    <t> -0.044 </t>
  </si>
  <si>
    <t>2439381.462 </t>
  </si>
  <si>
    <t> 12.09.1966 23:05 </t>
  </si>
  <si>
    <t> 0.010 </t>
  </si>
  <si>
    <t>2439390.479 </t>
  </si>
  <si>
    <t> 21.09.1966 23:29 </t>
  </si>
  <si>
    <t> 0.038 </t>
  </si>
  <si>
    <t>2439533.281 </t>
  </si>
  <si>
    <t> 11.02.1967 18:44 </t>
  </si>
  <si>
    <t> -0.082 </t>
  </si>
  <si>
    <t>2439593.554 </t>
  </si>
  <si>
    <t> 13.04.1967 01:17 </t>
  </si>
  <si>
    <t> -0.034 </t>
  </si>
  <si>
    <t>2439611.565 </t>
  </si>
  <si>
    <t> 01.05.1967 01:33 </t>
  </si>
  <si>
    <t> -0.001 </t>
  </si>
  <si>
    <t>2439683.489 </t>
  </si>
  <si>
    <t> 11.07.1967 23:44 </t>
  </si>
  <si>
    <t> 0.013 </t>
  </si>
  <si>
    <t>2439701.443 </t>
  </si>
  <si>
    <t> 29.07.1967 22:37 </t>
  </si>
  <si>
    <t> -0.011 </t>
  </si>
  <si>
    <t>2439827.349 </t>
  </si>
  <si>
    <t> 02.12.1967 20:22 </t>
  </si>
  <si>
    <t> 0.052 </t>
  </si>
  <si>
    <t>2440101.509 </t>
  </si>
  <si>
    <t> 02.09.1968 00:12 </t>
  </si>
  <si>
    <t> 0.054 </t>
  </si>
  <si>
    <t>2440201.260 </t>
  </si>
  <si>
    <t> 10.12.1968 18:14 </t>
  </si>
  <si>
    <t> 0.029 </t>
  </si>
  <si>
    <t>2449909.4297 </t>
  </si>
  <si>
    <t> 10.07.1995 22:18 </t>
  </si>
  <si>
    <t> -0.1545 </t>
  </si>
  <si>
    <t>E </t>
  </si>
  <si>
    <t>o</t>
  </si>
  <si>
    <t> W.Moschner </t>
  </si>
  <si>
    <t>BAVM 132 </t>
  </si>
  <si>
    <t>2449912.5798 </t>
  </si>
  <si>
    <t> 14.07.1995 01:54 </t>
  </si>
  <si>
    <t> -0.1505 </t>
  </si>
  <si>
    <t>2449918.4224 </t>
  </si>
  <si>
    <t> 19.07.1995 22:08 </t>
  </si>
  <si>
    <t> -0.1506 </t>
  </si>
  <si>
    <t>2449928.3090 </t>
  </si>
  <si>
    <t> 29.07.1995 19:24 </t>
  </si>
  <si>
    <t> -0.1517 </t>
  </si>
  <si>
    <t>2449931.4608 </t>
  </si>
  <si>
    <t> 01.08.1995 23:03 </t>
  </si>
  <si>
    <t> -0.1460 </t>
  </si>
  <si>
    <t>2449935.4983 </t>
  </si>
  <si>
    <t> 05.08.1995 23:57 </t>
  </si>
  <si>
    <t> -0.1535 </t>
  </si>
  <si>
    <t> J.Moschner </t>
  </si>
  <si>
    <t>2449997.5205 </t>
  </si>
  <si>
    <t> 07.10.1995 00:29 </t>
  </si>
  <si>
    <t> -0.1540 </t>
  </si>
  <si>
    <t>2450224.4978 </t>
  </si>
  <si>
    <t> 20.05.1996 23:56 </t>
  </si>
  <si>
    <t> -0.1439 </t>
  </si>
  <si>
    <t>2450370.5661 </t>
  </si>
  <si>
    <t> 14.10.1996 01:35 </t>
  </si>
  <si>
    <t> -0.1436 </t>
  </si>
  <si>
    <t>2450717.5413 </t>
  </si>
  <si>
    <t> 26.09.1997 00:59 </t>
  </si>
  <si>
    <t> -0.1361 </t>
  </si>
  <si>
    <t>2452198.480 </t>
  </si>
  <si>
    <t> 15.10.2001 23:31 </t>
  </si>
  <si>
    <t> -0.102 </t>
  </si>
  <si>
    <t> F.Agerer </t>
  </si>
  <si>
    <t>BAVM 152 </t>
  </si>
  <si>
    <t>2452531.5189 </t>
  </si>
  <si>
    <t> 14.09.2002 00:27 </t>
  </si>
  <si>
    <t> -0.0983 </t>
  </si>
  <si>
    <t>?</t>
  </si>
  <si>
    <t> R.Diethelm </t>
  </si>
  <si>
    <t> BBS 129 </t>
  </si>
  <si>
    <t>2452953.1033 </t>
  </si>
  <si>
    <t> 09.11.2003 14:28 </t>
  </si>
  <si>
    <t> -0.0886 </t>
  </si>
  <si>
    <t> T.Krajci </t>
  </si>
  <si>
    <t>IBVS 5592 </t>
  </si>
  <si>
    <t>2452986.3640 </t>
  </si>
  <si>
    <t> 12.12.2003 20:44 </t>
  </si>
  <si>
    <t> -0.0865 </t>
  </si>
  <si>
    <t> E.Blättler </t>
  </si>
  <si>
    <t> BBS 130 </t>
  </si>
  <si>
    <t>2453683.4691 </t>
  </si>
  <si>
    <t> 08.11.2005 23:15 </t>
  </si>
  <si>
    <t> -0.0628 </t>
  </si>
  <si>
    <t>C </t>
  </si>
  <si>
    <t>-I</t>
  </si>
  <si>
    <t> Agerer </t>
  </si>
  <si>
    <t>BAVM 178 </t>
  </si>
  <si>
    <t>2454751.3412 </t>
  </si>
  <si>
    <t> 11.10.2008 20:11 </t>
  </si>
  <si>
    <t>28097</t>
  </si>
  <si>
    <t> -0.0602 </t>
  </si>
  <si>
    <t>R</t>
  </si>
  <si>
    <t> R.Ehrenberger </t>
  </si>
  <si>
    <t>OEJV 0107 </t>
  </si>
  <si>
    <t>2455121.7019 </t>
  </si>
  <si>
    <t> 17.10.2009 04:50 </t>
  </si>
  <si>
    <t>28509</t>
  </si>
  <si>
    <t> -0.0380 </t>
  </si>
  <si>
    <t>IBVS 5920 </t>
  </si>
  <si>
    <t>2455474.5094 </t>
  </si>
  <si>
    <t> 05.10.2010 00:13 </t>
  </si>
  <si>
    <t>28901.5</t>
  </si>
  <si>
    <t> -0.0409 </t>
  </si>
  <si>
    <t> M.&amp; K.Rätz </t>
  </si>
  <si>
    <t>BAVM 220 </t>
  </si>
  <si>
    <t>2455482.5999 </t>
  </si>
  <si>
    <t> 13.10.2010 02:23 </t>
  </si>
  <si>
    <t>28910.5</t>
  </si>
  <si>
    <t> -0.0403 </t>
  </si>
  <si>
    <t>BAVM 215 </t>
  </si>
  <si>
    <t>2455644.4018 </t>
  </si>
  <si>
    <t> 23.03.2011 21:38 </t>
  </si>
  <si>
    <t>29090.5</t>
  </si>
  <si>
    <t> -0.0368 </t>
  </si>
  <si>
    <t>2455692.4995 </t>
  </si>
  <si>
    <t> 10.05.2011 23:59 </t>
  </si>
  <si>
    <t>29144</t>
  </si>
  <si>
    <t> -0.0292 </t>
  </si>
  <si>
    <t>2455706.4263 </t>
  </si>
  <si>
    <t> 24.05.2011 22:13 </t>
  </si>
  <si>
    <t>29159.5</t>
  </si>
  <si>
    <t> -0.0351 </t>
  </si>
  <si>
    <t> W.Moschner &amp; P.Frank </t>
  </si>
  <si>
    <t>2456181.5041 </t>
  </si>
  <si>
    <t> 11.09.2012 00:05 </t>
  </si>
  <si>
    <t>29688</t>
  </si>
  <si>
    <t> -0.0153 </t>
  </si>
  <si>
    <t>BAVM 231 </t>
  </si>
  <si>
    <t>2456219.6983 </t>
  </si>
  <si>
    <t> 19.10.2012 04:45 </t>
  </si>
  <si>
    <t>29730.5</t>
  </si>
  <si>
    <t> -0.0235 </t>
  </si>
  <si>
    <t>IBVS 6042 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</si>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</sst>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7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165" fontId="0" fillId="0" borderId="0" xfId="0" applyNumberFormat="1" applyAlignment="1"/>
    <xf numFmtId="165" fontId="0" fillId="0" borderId="0" xfId="0" applyNumberFormat="1" applyAlignment="1">
      <alignment horizontal="center"/>
    </xf>
    <xf numFmtId="0" fontId="5" fillId="0" borderId="0" xfId="0" applyFont="1">
      <alignment vertical="top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left"/>
    </xf>
    <xf numFmtId="0" fontId="4" fillId="0" borderId="10" xfId="0" applyFont="1" applyBorder="1" applyAlignment="1">
      <alignment horizontal="left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22" fontId="9" fillId="0" borderId="0" xfId="0" applyNumberFormat="1" applyFont="1">
      <alignment vertical="top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165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9" xfId="0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0" fillId="0" borderId="8" xfId="0" applyBorder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8" xfId="0" applyBorder="1">
      <alignment vertical="top"/>
    </xf>
    <xf numFmtId="0" fontId="33" fillId="0" borderId="0" xfId="42" applyFont="1" applyAlignment="1">
      <alignment wrapText="1"/>
    </xf>
    <xf numFmtId="0" fontId="33" fillId="0" borderId="0" xfId="42" applyFont="1" applyAlignment="1">
      <alignment horizontal="center" wrapText="1"/>
    </xf>
    <xf numFmtId="0" fontId="33" fillId="0" borderId="0" xfId="42" applyFont="1" applyAlignment="1">
      <alignment horizontal="left" wrapText="1"/>
    </xf>
    <xf numFmtId="0" fontId="35" fillId="0" borderId="0" xfId="0" applyFont="1" applyAlignment="1" applyProtection="1">
      <alignment horizontal="left" vertical="center" wrapText="1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166" fontId="35" fillId="0" borderId="0" xfId="0" applyNumberFormat="1" applyFont="1" applyAlignment="1">
      <alignment vertical="center" wrapText="1"/>
    </xf>
    <xf numFmtId="0" fontId="35" fillId="0" borderId="0" xfId="0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IP Cep - O-C Diagr.</a:t>
            </a:r>
          </a:p>
        </c:rich>
      </c:tx>
      <c:layout>
        <c:manualLayout>
          <c:xMode val="edge"/>
          <c:yMode val="edge"/>
          <c:x val="0.38546669817931523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207515994514"/>
          <c:y val="0.14634168126798494"/>
          <c:w val="0.81200757184225025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  <c:pt idx="49">
                  <c:v>26908.5</c:v>
                </c:pt>
                <c:pt idx="50">
                  <c:v>28096.5</c:v>
                </c:pt>
                <c:pt idx="51">
                  <c:v>28508.5</c:v>
                </c:pt>
                <c:pt idx="52">
                  <c:v>28901</c:v>
                </c:pt>
                <c:pt idx="53">
                  <c:v>28910</c:v>
                </c:pt>
                <c:pt idx="54">
                  <c:v>29090</c:v>
                </c:pt>
                <c:pt idx="55">
                  <c:v>29143.5</c:v>
                </c:pt>
                <c:pt idx="56">
                  <c:v>29159</c:v>
                </c:pt>
                <c:pt idx="57">
                  <c:v>29687.5</c:v>
                </c:pt>
                <c:pt idx="58">
                  <c:v>29730</c:v>
                </c:pt>
                <c:pt idx="59">
                  <c:v>30962.5</c:v>
                </c:pt>
                <c:pt idx="60">
                  <c:v>33795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19-46D3-AEE4-8ECCC454A4F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0</c:v>
                  </c:pt>
                  <c:pt idx="60">
                    <c:v>4.5999999999999999E-3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0</c:v>
                  </c:pt>
                  <c:pt idx="60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  <c:pt idx="49">
                  <c:v>26908.5</c:v>
                </c:pt>
                <c:pt idx="50">
                  <c:v>28096.5</c:v>
                </c:pt>
                <c:pt idx="51">
                  <c:v>28508.5</c:v>
                </c:pt>
                <c:pt idx="52">
                  <c:v>28901</c:v>
                </c:pt>
                <c:pt idx="53">
                  <c:v>28910</c:v>
                </c:pt>
                <c:pt idx="54">
                  <c:v>29090</c:v>
                </c:pt>
                <c:pt idx="55">
                  <c:v>29143.5</c:v>
                </c:pt>
                <c:pt idx="56">
                  <c:v>29159</c:v>
                </c:pt>
                <c:pt idx="57">
                  <c:v>29687.5</c:v>
                </c:pt>
                <c:pt idx="58">
                  <c:v>29730</c:v>
                </c:pt>
                <c:pt idx="59">
                  <c:v>30962.5</c:v>
                </c:pt>
                <c:pt idx="60">
                  <c:v>33795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-9.8999999998341082E-2</c:v>
                </c:pt>
                <c:pt idx="2">
                  <c:v>1.6763100575190037E-5</c:v>
                </c:pt>
                <c:pt idx="3">
                  <c:v>-0.12819497134478297</c:v>
                </c:pt>
                <c:pt idx="4">
                  <c:v>-0.11499366162024671</c:v>
                </c:pt>
                <c:pt idx="5">
                  <c:v>-0.12216174176865024</c:v>
                </c:pt>
                <c:pt idx="6">
                  <c:v>-0.12914154888130724</c:v>
                </c:pt>
                <c:pt idx="7">
                  <c:v>-0.16810890103079146</c:v>
                </c:pt>
                <c:pt idx="8">
                  <c:v>-0.21136610979010584</c:v>
                </c:pt>
                <c:pt idx="9">
                  <c:v>-0.17026502153021283</c:v>
                </c:pt>
                <c:pt idx="10">
                  <c:v>-0.18916393326799152</c:v>
                </c:pt>
                <c:pt idx="11">
                  <c:v>-0.23531012435705634</c:v>
                </c:pt>
                <c:pt idx="12">
                  <c:v>-0.18720903609209927</c:v>
                </c:pt>
                <c:pt idx="13">
                  <c:v>-0.2233785647622426</c:v>
                </c:pt>
                <c:pt idx="14">
                  <c:v>-0.18410952017438831</c:v>
                </c:pt>
                <c:pt idx="15">
                  <c:v>-0.2502557112602517</c:v>
                </c:pt>
                <c:pt idx="16">
                  <c:v>-0.18107687232259195</c:v>
                </c:pt>
                <c:pt idx="17">
                  <c:v>-0.12612197513954015</c:v>
                </c:pt>
                <c:pt idx="18">
                  <c:v>-0.18725740743684582</c:v>
                </c:pt>
                <c:pt idx="19">
                  <c:v>-0.23807856850180542</c:v>
                </c:pt>
                <c:pt idx="20">
                  <c:v>-0.18431496522680391</c:v>
                </c:pt>
                <c:pt idx="21">
                  <c:v>-0.21321387696661986</c:v>
                </c:pt>
                <c:pt idx="22">
                  <c:v>-0.24829489616968203</c:v>
                </c:pt>
                <c:pt idx="23">
                  <c:v>-0.17312851220049197</c:v>
                </c:pt>
                <c:pt idx="24">
                  <c:v>-0.24712077428557677</c:v>
                </c:pt>
                <c:pt idx="25">
                  <c:v>-0.19823129664291628</c:v>
                </c:pt>
                <c:pt idx="26">
                  <c:v>-0.17022041402378818</c:v>
                </c:pt>
                <c:pt idx="27">
                  <c:v>-0.2931473803910194</c:v>
                </c:pt>
                <c:pt idx="28">
                  <c:v>-0.24637446685665054</c:v>
                </c:pt>
                <c:pt idx="29">
                  <c:v>-0.21335270161216613</c:v>
                </c:pt>
                <c:pt idx="30">
                  <c:v>-0.20126564067322761</c:v>
                </c:pt>
                <c:pt idx="31">
                  <c:v>-0.22524387543671764</c:v>
                </c:pt>
                <c:pt idx="32">
                  <c:v>-0.16509151877835393</c:v>
                </c:pt>
                <c:pt idx="33">
                  <c:v>-0.16925959893706022</c:v>
                </c:pt>
                <c:pt idx="34">
                  <c:v>-0.19603880187059985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19-46D3-AEE4-8ECCC454A4F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0</c:v>
                  </c:pt>
                  <c:pt idx="60">
                    <c:v>4.5999999999999999E-3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0</c:v>
                  </c:pt>
                  <c:pt idx="60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  <c:pt idx="49">
                  <c:v>26908.5</c:v>
                </c:pt>
                <c:pt idx="50">
                  <c:v>28096.5</c:v>
                </c:pt>
                <c:pt idx="51">
                  <c:v>28508.5</c:v>
                </c:pt>
                <c:pt idx="52">
                  <c:v>28901</c:v>
                </c:pt>
                <c:pt idx="53">
                  <c:v>28910</c:v>
                </c:pt>
                <c:pt idx="54">
                  <c:v>29090</c:v>
                </c:pt>
                <c:pt idx="55">
                  <c:v>29143.5</c:v>
                </c:pt>
                <c:pt idx="56">
                  <c:v>29159</c:v>
                </c:pt>
                <c:pt idx="57">
                  <c:v>29687.5</c:v>
                </c:pt>
                <c:pt idx="58">
                  <c:v>29730</c:v>
                </c:pt>
                <c:pt idx="59">
                  <c:v>30962.5</c:v>
                </c:pt>
                <c:pt idx="60">
                  <c:v>33795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35">
                  <c:v>-0.13458557434933027</c:v>
                </c:pt>
                <c:pt idx="36">
                  <c:v>-0.13063176543073496</c:v>
                </c:pt>
                <c:pt idx="37">
                  <c:v>-0.13087469172751298</c:v>
                </c:pt>
                <c:pt idx="38">
                  <c:v>-0.13216272085264791</c:v>
                </c:pt>
                <c:pt idx="39">
                  <c:v>-0.12650891194061842</c:v>
                </c:pt>
                <c:pt idx="40">
                  <c:v>-0.13405401475756662</c:v>
                </c:pt>
                <c:pt idx="41">
                  <c:v>-0.13587892469513463</c:v>
                </c:pt>
                <c:pt idx="42">
                  <c:v>-0.1305541385881952</c:v>
                </c:pt>
                <c:pt idx="43">
                  <c:v>-0.13332729604735505</c:v>
                </c:pt>
                <c:pt idx="44">
                  <c:v>-0.13310722698952304</c:v>
                </c:pt>
                <c:pt idx="45">
                  <c:v>-0.13036431564978557</c:v>
                </c:pt>
                <c:pt idx="48">
                  <c:v>-0.13126045418175636</c:v>
                </c:pt>
                <c:pt idx="49">
                  <c:v>-0.12226650715456344</c:v>
                </c:pt>
                <c:pt idx="52">
                  <c:v>-0.13804814549803268</c:v>
                </c:pt>
                <c:pt idx="53">
                  <c:v>-0.13763835113786627</c:v>
                </c:pt>
                <c:pt idx="54">
                  <c:v>-0.13754246402095305</c:v>
                </c:pt>
                <c:pt idx="55">
                  <c:v>-0.13093424201360904</c:v>
                </c:pt>
                <c:pt idx="56">
                  <c:v>-0.13706737395114033</c:v>
                </c:pt>
                <c:pt idx="57">
                  <c:v>-0.12734222759172553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19-46D3-AEE4-8ECCC454A4F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0</c:v>
                  </c:pt>
                  <c:pt idx="60">
                    <c:v>4.5999999999999999E-3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0</c:v>
                  </c:pt>
                  <c:pt idx="60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  <c:pt idx="49">
                  <c:v>26908.5</c:v>
                </c:pt>
                <c:pt idx="50">
                  <c:v>28096.5</c:v>
                </c:pt>
                <c:pt idx="51">
                  <c:v>28508.5</c:v>
                </c:pt>
                <c:pt idx="52">
                  <c:v>28901</c:v>
                </c:pt>
                <c:pt idx="53">
                  <c:v>28910</c:v>
                </c:pt>
                <c:pt idx="54">
                  <c:v>29090</c:v>
                </c:pt>
                <c:pt idx="55">
                  <c:v>29143.5</c:v>
                </c:pt>
                <c:pt idx="56">
                  <c:v>29159</c:v>
                </c:pt>
                <c:pt idx="57">
                  <c:v>29687.5</c:v>
                </c:pt>
                <c:pt idx="58">
                  <c:v>29730</c:v>
                </c:pt>
                <c:pt idx="59">
                  <c:v>30962.5</c:v>
                </c:pt>
                <c:pt idx="60">
                  <c:v>33795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46">
                  <c:v>-0.13351111465453869</c:v>
                </c:pt>
                <c:pt idx="47">
                  <c:v>-0.13270071987062693</c:v>
                </c:pt>
                <c:pt idx="50">
                  <c:v>-0.14205365211819299</c:v>
                </c:pt>
                <c:pt idx="51">
                  <c:v>-0.12772528825735208</c:v>
                </c:pt>
                <c:pt idx="58">
                  <c:v>-0.13634597646159818</c:v>
                </c:pt>
                <c:pt idx="59">
                  <c:v>-0.126554693786602</c:v>
                </c:pt>
                <c:pt idx="60">
                  <c:v>-0.10492219221487176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19-46D3-AEE4-8ECCC454A4F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0</c:v>
                  </c:pt>
                  <c:pt idx="60">
                    <c:v>4.5999999999999999E-3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0</c:v>
                  </c:pt>
                  <c:pt idx="60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  <c:pt idx="49">
                  <c:v>26908.5</c:v>
                </c:pt>
                <c:pt idx="50">
                  <c:v>28096.5</c:v>
                </c:pt>
                <c:pt idx="51">
                  <c:v>28508.5</c:v>
                </c:pt>
                <c:pt idx="52">
                  <c:v>28901</c:v>
                </c:pt>
                <c:pt idx="53">
                  <c:v>28910</c:v>
                </c:pt>
                <c:pt idx="54">
                  <c:v>29090</c:v>
                </c:pt>
                <c:pt idx="55">
                  <c:v>29143.5</c:v>
                </c:pt>
                <c:pt idx="56">
                  <c:v>29159</c:v>
                </c:pt>
                <c:pt idx="57">
                  <c:v>29687.5</c:v>
                </c:pt>
                <c:pt idx="58">
                  <c:v>29730</c:v>
                </c:pt>
                <c:pt idx="59">
                  <c:v>30962.5</c:v>
                </c:pt>
                <c:pt idx="60">
                  <c:v>33795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19-46D3-AEE4-8ECCC454A4F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0</c:v>
                  </c:pt>
                  <c:pt idx="60">
                    <c:v>4.5999999999999999E-3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0</c:v>
                  </c:pt>
                  <c:pt idx="60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  <c:pt idx="49">
                  <c:v>26908.5</c:v>
                </c:pt>
                <c:pt idx="50">
                  <c:v>28096.5</c:v>
                </c:pt>
                <c:pt idx="51">
                  <c:v>28508.5</c:v>
                </c:pt>
                <c:pt idx="52">
                  <c:v>28901</c:v>
                </c:pt>
                <c:pt idx="53">
                  <c:v>28910</c:v>
                </c:pt>
                <c:pt idx="54">
                  <c:v>29090</c:v>
                </c:pt>
                <c:pt idx="55">
                  <c:v>29143.5</c:v>
                </c:pt>
                <c:pt idx="56">
                  <c:v>29159</c:v>
                </c:pt>
                <c:pt idx="57">
                  <c:v>29687.5</c:v>
                </c:pt>
                <c:pt idx="58">
                  <c:v>29730</c:v>
                </c:pt>
                <c:pt idx="59">
                  <c:v>30962.5</c:v>
                </c:pt>
                <c:pt idx="60">
                  <c:v>33795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19-46D3-AEE4-8ECCC454A4F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0</c:v>
                  </c:pt>
                  <c:pt idx="60">
                    <c:v>4.5999999999999999E-3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0</c:v>
                  </c:pt>
                  <c:pt idx="60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  <c:pt idx="49">
                  <c:v>26908.5</c:v>
                </c:pt>
                <c:pt idx="50">
                  <c:v>28096.5</c:v>
                </c:pt>
                <c:pt idx="51">
                  <c:v>28508.5</c:v>
                </c:pt>
                <c:pt idx="52">
                  <c:v>28901</c:v>
                </c:pt>
                <c:pt idx="53">
                  <c:v>28910</c:v>
                </c:pt>
                <c:pt idx="54">
                  <c:v>29090</c:v>
                </c:pt>
                <c:pt idx="55">
                  <c:v>29143.5</c:v>
                </c:pt>
                <c:pt idx="56">
                  <c:v>29159</c:v>
                </c:pt>
                <c:pt idx="57">
                  <c:v>29687.5</c:v>
                </c:pt>
                <c:pt idx="58">
                  <c:v>29730</c:v>
                </c:pt>
                <c:pt idx="59">
                  <c:v>30962.5</c:v>
                </c:pt>
                <c:pt idx="60">
                  <c:v>33795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19-46D3-AEE4-8ECCC454A4F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  <c:pt idx="49">
                  <c:v>26908.5</c:v>
                </c:pt>
                <c:pt idx="50">
                  <c:v>28096.5</c:v>
                </c:pt>
                <c:pt idx="51">
                  <c:v>28508.5</c:v>
                </c:pt>
                <c:pt idx="52">
                  <c:v>28901</c:v>
                </c:pt>
                <c:pt idx="53">
                  <c:v>28910</c:v>
                </c:pt>
                <c:pt idx="54">
                  <c:v>29090</c:v>
                </c:pt>
                <c:pt idx="55">
                  <c:v>29143.5</c:v>
                </c:pt>
                <c:pt idx="56">
                  <c:v>29159</c:v>
                </c:pt>
                <c:pt idx="57">
                  <c:v>29687.5</c:v>
                </c:pt>
                <c:pt idx="58">
                  <c:v>29730</c:v>
                </c:pt>
                <c:pt idx="59">
                  <c:v>30962.5</c:v>
                </c:pt>
                <c:pt idx="60">
                  <c:v>33795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2">
                  <c:v>-0.14539716883287285</c:v>
                </c:pt>
                <c:pt idx="3">
                  <c:v>-0.14501550008159222</c:v>
                </c:pt>
                <c:pt idx="4">
                  <c:v>-0.14354967081942752</c:v>
                </c:pt>
                <c:pt idx="5">
                  <c:v>-0.14335119005362942</c:v>
                </c:pt>
                <c:pt idx="6">
                  <c:v>-0.1433092162523377</c:v>
                </c:pt>
                <c:pt idx="7">
                  <c:v>-0.14328969355406246</c:v>
                </c:pt>
                <c:pt idx="8">
                  <c:v>-0.14227744164849213</c:v>
                </c:pt>
                <c:pt idx="9">
                  <c:v>-0.14227679089188294</c:v>
                </c:pt>
                <c:pt idx="10">
                  <c:v>-0.14227614013527379</c:v>
                </c:pt>
                <c:pt idx="11">
                  <c:v>-0.14227386248714166</c:v>
                </c:pt>
                <c:pt idx="12">
                  <c:v>-0.14227321173053251</c:v>
                </c:pt>
                <c:pt idx="13">
                  <c:v>-0.14225499054547561</c:v>
                </c:pt>
                <c:pt idx="14">
                  <c:v>-0.14224360230481509</c:v>
                </c:pt>
                <c:pt idx="15">
                  <c:v>-0.14224132465668296</c:v>
                </c:pt>
                <c:pt idx="16">
                  <c:v>-0.14222407960653985</c:v>
                </c:pt>
                <c:pt idx="17">
                  <c:v>-0.14222115120179857</c:v>
                </c:pt>
                <c:pt idx="18">
                  <c:v>-0.14200314773772524</c:v>
                </c:pt>
                <c:pt idx="19">
                  <c:v>-0.14198590268758213</c:v>
                </c:pt>
                <c:pt idx="20">
                  <c:v>-0.14197776822996744</c:v>
                </c:pt>
                <c:pt idx="21">
                  <c:v>-0.14197711747335828</c:v>
                </c:pt>
                <c:pt idx="22">
                  <c:v>-0.14172657617882622</c:v>
                </c:pt>
                <c:pt idx="23">
                  <c:v>-0.14168688002566662</c:v>
                </c:pt>
                <c:pt idx="24">
                  <c:v>-0.14162245512135838</c:v>
                </c:pt>
                <c:pt idx="25">
                  <c:v>-0.14144935386331806</c:v>
                </c:pt>
                <c:pt idx="26">
                  <c:v>-0.14144284629722631</c:v>
                </c:pt>
                <c:pt idx="27">
                  <c:v>-0.14133937599636764</c:v>
                </c:pt>
                <c:pt idx="28">
                  <c:v>-0.14129577530355297</c:v>
                </c:pt>
                <c:pt idx="29">
                  <c:v>-0.14128276017136948</c:v>
                </c:pt>
                <c:pt idx="30">
                  <c:v>-0.14123069964263557</c:v>
                </c:pt>
                <c:pt idx="31">
                  <c:v>-0.14121768451045208</c:v>
                </c:pt>
                <c:pt idx="32">
                  <c:v>-0.14112657858516769</c:v>
                </c:pt>
                <c:pt idx="33">
                  <c:v>-0.1409280978193696</c:v>
                </c:pt>
                <c:pt idx="34">
                  <c:v>-0.14085586383575127</c:v>
                </c:pt>
                <c:pt idx="35">
                  <c:v>-0.13382769245667084</c:v>
                </c:pt>
                <c:pt idx="36">
                  <c:v>-0.13382541480853871</c:v>
                </c:pt>
                <c:pt idx="37">
                  <c:v>-0.13382118489057909</c:v>
                </c:pt>
                <c:pt idx="38">
                  <c:v>-0.13381402656787816</c:v>
                </c:pt>
                <c:pt idx="39">
                  <c:v>-0.13381174891974607</c:v>
                </c:pt>
                <c:pt idx="40">
                  <c:v>-0.13380882051500478</c:v>
                </c:pt>
                <c:pt idx="41">
                  <c:v>-0.13376391830897177</c:v>
                </c:pt>
                <c:pt idx="42">
                  <c:v>-0.1335996022651553</c:v>
                </c:pt>
                <c:pt idx="43">
                  <c:v>-0.13349385431616451</c:v>
                </c:pt>
                <c:pt idx="44">
                  <c:v>-0.13324266226502329</c:v>
                </c:pt>
                <c:pt idx="45">
                  <c:v>-0.13217054075140894</c:v>
                </c:pt>
                <c:pt idx="46">
                  <c:v>-0.13192943542770993</c:v>
                </c:pt>
                <c:pt idx="47">
                  <c:v>-0.13162423057800726</c:v>
                </c:pt>
                <c:pt idx="48">
                  <c:v>-0.13160015258346783</c:v>
                </c:pt>
                <c:pt idx="49">
                  <c:v>-0.1310954908330533</c:v>
                </c:pt>
                <c:pt idx="50">
                  <c:v>-0.13032239198135445</c:v>
                </c:pt>
                <c:pt idx="51">
                  <c:v>-0.13005428025837473</c:v>
                </c:pt>
                <c:pt idx="52">
                  <c:v>-0.12979885828927387</c:v>
                </c:pt>
                <c:pt idx="53">
                  <c:v>-0.12979300147979131</c:v>
                </c:pt>
                <c:pt idx="54">
                  <c:v>-0.12967586529013997</c:v>
                </c:pt>
                <c:pt idx="55">
                  <c:v>-0.12964104981154917</c:v>
                </c:pt>
                <c:pt idx="56">
                  <c:v>-0.12963096308410696</c:v>
                </c:pt>
                <c:pt idx="57">
                  <c:v>-0.12928703821615845</c:v>
                </c:pt>
                <c:pt idx="58">
                  <c:v>-0.12925938106026855</c:v>
                </c:pt>
                <c:pt idx="59">
                  <c:v>-0.12845732353946143</c:v>
                </c:pt>
                <c:pt idx="60">
                  <c:v>-0.12661405544397578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19-46D3-AEE4-8ECCC454A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6307392"/>
        <c:axId val="1"/>
      </c:scatterChart>
      <c:valAx>
        <c:axId val="586307392"/>
        <c:scaling>
          <c:orientation val="minMax"/>
          <c:min val="2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8740116016301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1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552922590837282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6307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1693680470036"/>
          <c:y val="0.92073298764483702"/>
          <c:w val="0.6603485464790834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IP Cep - O-C Diagr.</a:t>
            </a:r>
          </a:p>
        </c:rich>
      </c:tx>
      <c:layout>
        <c:manualLayout>
          <c:xMode val="edge"/>
          <c:yMode val="edge"/>
          <c:x val="0.3848583753529231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80136872887355"/>
          <c:y val="0.1458966565349544"/>
          <c:w val="0.81230346472011217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  <c:pt idx="49">
                  <c:v>26908.5</c:v>
                </c:pt>
                <c:pt idx="50">
                  <c:v>28096.5</c:v>
                </c:pt>
                <c:pt idx="51">
                  <c:v>28508.5</c:v>
                </c:pt>
                <c:pt idx="52">
                  <c:v>28901</c:v>
                </c:pt>
                <c:pt idx="53">
                  <c:v>28910</c:v>
                </c:pt>
                <c:pt idx="54">
                  <c:v>29090</c:v>
                </c:pt>
                <c:pt idx="55">
                  <c:v>29143.5</c:v>
                </c:pt>
                <c:pt idx="56">
                  <c:v>29159</c:v>
                </c:pt>
                <c:pt idx="57">
                  <c:v>29687.5</c:v>
                </c:pt>
                <c:pt idx="58">
                  <c:v>29730</c:v>
                </c:pt>
                <c:pt idx="59">
                  <c:v>30962.5</c:v>
                </c:pt>
                <c:pt idx="60">
                  <c:v>33795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B7-4650-A015-7249471D7BB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0</c:v>
                  </c:pt>
                  <c:pt idx="60">
                    <c:v>4.5999999999999999E-3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0</c:v>
                  </c:pt>
                  <c:pt idx="60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  <c:pt idx="49">
                  <c:v>26908.5</c:v>
                </c:pt>
                <c:pt idx="50">
                  <c:v>28096.5</c:v>
                </c:pt>
                <c:pt idx="51">
                  <c:v>28508.5</c:v>
                </c:pt>
                <c:pt idx="52">
                  <c:v>28901</c:v>
                </c:pt>
                <c:pt idx="53">
                  <c:v>28910</c:v>
                </c:pt>
                <c:pt idx="54">
                  <c:v>29090</c:v>
                </c:pt>
                <c:pt idx="55">
                  <c:v>29143.5</c:v>
                </c:pt>
                <c:pt idx="56">
                  <c:v>29159</c:v>
                </c:pt>
                <c:pt idx="57">
                  <c:v>29687.5</c:v>
                </c:pt>
                <c:pt idx="58">
                  <c:v>29730</c:v>
                </c:pt>
                <c:pt idx="59">
                  <c:v>30962.5</c:v>
                </c:pt>
                <c:pt idx="60">
                  <c:v>33795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0">
                  <c:v>-9.8999999998341082E-2</c:v>
                </c:pt>
                <c:pt idx="2">
                  <c:v>1.6763100575190037E-5</c:v>
                </c:pt>
                <c:pt idx="3">
                  <c:v>-0.12819497134478297</c:v>
                </c:pt>
                <c:pt idx="4">
                  <c:v>-0.11499366162024671</c:v>
                </c:pt>
                <c:pt idx="5">
                  <c:v>-0.12216174176865024</c:v>
                </c:pt>
                <c:pt idx="6">
                  <c:v>-0.12914154888130724</c:v>
                </c:pt>
                <c:pt idx="7">
                  <c:v>-0.16810890103079146</c:v>
                </c:pt>
                <c:pt idx="8">
                  <c:v>-0.21136610979010584</c:v>
                </c:pt>
                <c:pt idx="9">
                  <c:v>-0.17026502153021283</c:v>
                </c:pt>
                <c:pt idx="10">
                  <c:v>-0.18916393326799152</c:v>
                </c:pt>
                <c:pt idx="11">
                  <c:v>-0.23531012435705634</c:v>
                </c:pt>
                <c:pt idx="12">
                  <c:v>-0.18720903609209927</c:v>
                </c:pt>
                <c:pt idx="13">
                  <c:v>-0.2233785647622426</c:v>
                </c:pt>
                <c:pt idx="14">
                  <c:v>-0.18410952017438831</c:v>
                </c:pt>
                <c:pt idx="15">
                  <c:v>-0.2502557112602517</c:v>
                </c:pt>
                <c:pt idx="16">
                  <c:v>-0.18107687232259195</c:v>
                </c:pt>
                <c:pt idx="17">
                  <c:v>-0.12612197513954015</c:v>
                </c:pt>
                <c:pt idx="18">
                  <c:v>-0.18725740743684582</c:v>
                </c:pt>
                <c:pt idx="19">
                  <c:v>-0.23807856850180542</c:v>
                </c:pt>
                <c:pt idx="20">
                  <c:v>-0.18431496522680391</c:v>
                </c:pt>
                <c:pt idx="21">
                  <c:v>-0.21321387696661986</c:v>
                </c:pt>
                <c:pt idx="22">
                  <c:v>-0.24829489616968203</c:v>
                </c:pt>
                <c:pt idx="23">
                  <c:v>-0.17312851220049197</c:v>
                </c:pt>
                <c:pt idx="24">
                  <c:v>-0.24712077428557677</c:v>
                </c:pt>
                <c:pt idx="25">
                  <c:v>-0.19823129664291628</c:v>
                </c:pt>
                <c:pt idx="26">
                  <c:v>-0.17022041402378818</c:v>
                </c:pt>
                <c:pt idx="27">
                  <c:v>-0.2931473803910194</c:v>
                </c:pt>
                <c:pt idx="28">
                  <c:v>-0.24637446685665054</c:v>
                </c:pt>
                <c:pt idx="29">
                  <c:v>-0.21335270161216613</c:v>
                </c:pt>
                <c:pt idx="30">
                  <c:v>-0.20126564067322761</c:v>
                </c:pt>
                <c:pt idx="31">
                  <c:v>-0.22524387543671764</c:v>
                </c:pt>
                <c:pt idx="32">
                  <c:v>-0.16509151877835393</c:v>
                </c:pt>
                <c:pt idx="33">
                  <c:v>-0.16925959893706022</c:v>
                </c:pt>
                <c:pt idx="34">
                  <c:v>-0.19603880187059985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B7-4650-A015-7249471D7BB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0</c:v>
                  </c:pt>
                  <c:pt idx="60">
                    <c:v>4.5999999999999999E-3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0</c:v>
                  </c:pt>
                  <c:pt idx="60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  <c:pt idx="49">
                  <c:v>26908.5</c:v>
                </c:pt>
                <c:pt idx="50">
                  <c:v>28096.5</c:v>
                </c:pt>
                <c:pt idx="51">
                  <c:v>28508.5</c:v>
                </c:pt>
                <c:pt idx="52">
                  <c:v>28901</c:v>
                </c:pt>
                <c:pt idx="53">
                  <c:v>28910</c:v>
                </c:pt>
                <c:pt idx="54">
                  <c:v>29090</c:v>
                </c:pt>
                <c:pt idx="55">
                  <c:v>29143.5</c:v>
                </c:pt>
                <c:pt idx="56">
                  <c:v>29159</c:v>
                </c:pt>
                <c:pt idx="57">
                  <c:v>29687.5</c:v>
                </c:pt>
                <c:pt idx="58">
                  <c:v>29730</c:v>
                </c:pt>
                <c:pt idx="59">
                  <c:v>30962.5</c:v>
                </c:pt>
                <c:pt idx="60">
                  <c:v>33795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35">
                  <c:v>-0.13458557434933027</c:v>
                </c:pt>
                <c:pt idx="36">
                  <c:v>-0.13063176543073496</c:v>
                </c:pt>
                <c:pt idx="37">
                  <c:v>-0.13087469172751298</c:v>
                </c:pt>
                <c:pt idx="38">
                  <c:v>-0.13216272085264791</c:v>
                </c:pt>
                <c:pt idx="39">
                  <c:v>-0.12650891194061842</c:v>
                </c:pt>
                <c:pt idx="40">
                  <c:v>-0.13405401475756662</c:v>
                </c:pt>
                <c:pt idx="41">
                  <c:v>-0.13587892469513463</c:v>
                </c:pt>
                <c:pt idx="42">
                  <c:v>-0.1305541385881952</c:v>
                </c:pt>
                <c:pt idx="43">
                  <c:v>-0.13332729604735505</c:v>
                </c:pt>
                <c:pt idx="44">
                  <c:v>-0.13310722698952304</c:v>
                </c:pt>
                <c:pt idx="45">
                  <c:v>-0.13036431564978557</c:v>
                </c:pt>
                <c:pt idx="48">
                  <c:v>-0.13126045418175636</c:v>
                </c:pt>
                <c:pt idx="49">
                  <c:v>-0.12226650715456344</c:v>
                </c:pt>
                <c:pt idx="52">
                  <c:v>-0.13804814549803268</c:v>
                </c:pt>
                <c:pt idx="53">
                  <c:v>-0.13763835113786627</c:v>
                </c:pt>
                <c:pt idx="54">
                  <c:v>-0.13754246402095305</c:v>
                </c:pt>
                <c:pt idx="55">
                  <c:v>-0.13093424201360904</c:v>
                </c:pt>
                <c:pt idx="56">
                  <c:v>-0.13706737395114033</c:v>
                </c:pt>
                <c:pt idx="57">
                  <c:v>-0.12734222759172553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B7-4650-A015-7249471D7BB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0</c:v>
                  </c:pt>
                  <c:pt idx="60">
                    <c:v>4.5999999999999999E-3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0</c:v>
                  </c:pt>
                  <c:pt idx="60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  <c:pt idx="49">
                  <c:v>26908.5</c:v>
                </c:pt>
                <c:pt idx="50">
                  <c:v>28096.5</c:v>
                </c:pt>
                <c:pt idx="51">
                  <c:v>28508.5</c:v>
                </c:pt>
                <c:pt idx="52">
                  <c:v>28901</c:v>
                </c:pt>
                <c:pt idx="53">
                  <c:v>28910</c:v>
                </c:pt>
                <c:pt idx="54">
                  <c:v>29090</c:v>
                </c:pt>
                <c:pt idx="55">
                  <c:v>29143.5</c:v>
                </c:pt>
                <c:pt idx="56">
                  <c:v>29159</c:v>
                </c:pt>
                <c:pt idx="57">
                  <c:v>29687.5</c:v>
                </c:pt>
                <c:pt idx="58">
                  <c:v>29730</c:v>
                </c:pt>
                <c:pt idx="59">
                  <c:v>30962.5</c:v>
                </c:pt>
                <c:pt idx="60">
                  <c:v>33795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46">
                  <c:v>-0.13351111465453869</c:v>
                </c:pt>
                <c:pt idx="47">
                  <c:v>-0.13270071987062693</c:v>
                </c:pt>
                <c:pt idx="50">
                  <c:v>-0.14205365211819299</c:v>
                </c:pt>
                <c:pt idx="51">
                  <c:v>-0.12772528825735208</c:v>
                </c:pt>
                <c:pt idx="58">
                  <c:v>-0.13634597646159818</c:v>
                </c:pt>
                <c:pt idx="59">
                  <c:v>-0.126554693786602</c:v>
                </c:pt>
                <c:pt idx="60">
                  <c:v>-0.10492219221487176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4B7-4650-A015-7249471D7BB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0</c:v>
                  </c:pt>
                  <c:pt idx="60">
                    <c:v>4.5999999999999999E-3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0</c:v>
                  </c:pt>
                  <c:pt idx="60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  <c:pt idx="49">
                  <c:v>26908.5</c:v>
                </c:pt>
                <c:pt idx="50">
                  <c:v>28096.5</c:v>
                </c:pt>
                <c:pt idx="51">
                  <c:v>28508.5</c:v>
                </c:pt>
                <c:pt idx="52">
                  <c:v>28901</c:v>
                </c:pt>
                <c:pt idx="53">
                  <c:v>28910</c:v>
                </c:pt>
                <c:pt idx="54">
                  <c:v>29090</c:v>
                </c:pt>
                <c:pt idx="55">
                  <c:v>29143.5</c:v>
                </c:pt>
                <c:pt idx="56">
                  <c:v>29159</c:v>
                </c:pt>
                <c:pt idx="57">
                  <c:v>29687.5</c:v>
                </c:pt>
                <c:pt idx="58">
                  <c:v>29730</c:v>
                </c:pt>
                <c:pt idx="59">
                  <c:v>30962.5</c:v>
                </c:pt>
                <c:pt idx="60">
                  <c:v>33795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4B7-4650-A015-7249471D7BB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0</c:v>
                  </c:pt>
                  <c:pt idx="60">
                    <c:v>4.5999999999999999E-3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0</c:v>
                  </c:pt>
                  <c:pt idx="60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  <c:pt idx="49">
                  <c:v>26908.5</c:v>
                </c:pt>
                <c:pt idx="50">
                  <c:v>28096.5</c:v>
                </c:pt>
                <c:pt idx="51">
                  <c:v>28508.5</c:v>
                </c:pt>
                <c:pt idx="52">
                  <c:v>28901</c:v>
                </c:pt>
                <c:pt idx="53">
                  <c:v>28910</c:v>
                </c:pt>
                <c:pt idx="54">
                  <c:v>29090</c:v>
                </c:pt>
                <c:pt idx="55">
                  <c:v>29143.5</c:v>
                </c:pt>
                <c:pt idx="56">
                  <c:v>29159</c:v>
                </c:pt>
                <c:pt idx="57">
                  <c:v>29687.5</c:v>
                </c:pt>
                <c:pt idx="58">
                  <c:v>29730</c:v>
                </c:pt>
                <c:pt idx="59">
                  <c:v>30962.5</c:v>
                </c:pt>
                <c:pt idx="60">
                  <c:v>33795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4B7-4650-A015-7249471D7BB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0</c:v>
                  </c:pt>
                  <c:pt idx="60">
                    <c:v>4.5999999999999999E-3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  <c:pt idx="49">
                    <c:v>2.5999999999999999E-3</c:v>
                  </c:pt>
                  <c:pt idx="50">
                    <c:v>5.9999999999999995E-4</c:v>
                  </c:pt>
                  <c:pt idx="51">
                    <c:v>1E-3</c:v>
                  </c:pt>
                  <c:pt idx="52">
                    <c:v>2.0000000000000001E-4</c:v>
                  </c:pt>
                  <c:pt idx="53">
                    <c:v>1.0699999999999999E-2</c:v>
                  </c:pt>
                  <c:pt idx="54">
                    <c:v>4.3E-3</c:v>
                  </c:pt>
                  <c:pt idx="55">
                    <c:v>4.1000000000000003E-3</c:v>
                  </c:pt>
                  <c:pt idx="56">
                    <c:v>8.9999999999999998E-4</c:v>
                  </c:pt>
                  <c:pt idx="57">
                    <c:v>2E-3</c:v>
                  </c:pt>
                  <c:pt idx="58">
                    <c:v>4.0000000000000002E-4</c:v>
                  </c:pt>
                  <c:pt idx="59">
                    <c:v>0</c:v>
                  </c:pt>
                  <c:pt idx="60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  <c:pt idx="49">
                  <c:v>26908.5</c:v>
                </c:pt>
                <c:pt idx="50">
                  <c:v>28096.5</c:v>
                </c:pt>
                <c:pt idx="51">
                  <c:v>28508.5</c:v>
                </c:pt>
                <c:pt idx="52">
                  <c:v>28901</c:v>
                </c:pt>
                <c:pt idx="53">
                  <c:v>28910</c:v>
                </c:pt>
                <c:pt idx="54">
                  <c:v>29090</c:v>
                </c:pt>
                <c:pt idx="55">
                  <c:v>29143.5</c:v>
                </c:pt>
                <c:pt idx="56">
                  <c:v>29159</c:v>
                </c:pt>
                <c:pt idx="57">
                  <c:v>29687.5</c:v>
                </c:pt>
                <c:pt idx="58">
                  <c:v>29730</c:v>
                </c:pt>
                <c:pt idx="59">
                  <c:v>30962.5</c:v>
                </c:pt>
                <c:pt idx="60">
                  <c:v>33795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4B7-4650-A015-7249471D7BB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  <c:pt idx="49">
                  <c:v>26908.5</c:v>
                </c:pt>
                <c:pt idx="50">
                  <c:v>28096.5</c:v>
                </c:pt>
                <c:pt idx="51">
                  <c:v>28508.5</c:v>
                </c:pt>
                <c:pt idx="52">
                  <c:v>28901</c:v>
                </c:pt>
                <c:pt idx="53">
                  <c:v>28910</c:v>
                </c:pt>
                <c:pt idx="54">
                  <c:v>29090</c:v>
                </c:pt>
                <c:pt idx="55">
                  <c:v>29143.5</c:v>
                </c:pt>
                <c:pt idx="56">
                  <c:v>29159</c:v>
                </c:pt>
                <c:pt idx="57">
                  <c:v>29687.5</c:v>
                </c:pt>
                <c:pt idx="58">
                  <c:v>29730</c:v>
                </c:pt>
                <c:pt idx="59">
                  <c:v>30962.5</c:v>
                </c:pt>
                <c:pt idx="60">
                  <c:v>33795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2">
                  <c:v>-0.14539716883287285</c:v>
                </c:pt>
                <c:pt idx="3">
                  <c:v>-0.14501550008159222</c:v>
                </c:pt>
                <c:pt idx="4">
                  <c:v>-0.14354967081942752</c:v>
                </c:pt>
                <c:pt idx="5">
                  <c:v>-0.14335119005362942</c:v>
                </c:pt>
                <c:pt idx="6">
                  <c:v>-0.1433092162523377</c:v>
                </c:pt>
                <c:pt idx="7">
                  <c:v>-0.14328969355406246</c:v>
                </c:pt>
                <c:pt idx="8">
                  <c:v>-0.14227744164849213</c:v>
                </c:pt>
                <c:pt idx="9">
                  <c:v>-0.14227679089188294</c:v>
                </c:pt>
                <c:pt idx="10">
                  <c:v>-0.14227614013527379</c:v>
                </c:pt>
                <c:pt idx="11">
                  <c:v>-0.14227386248714166</c:v>
                </c:pt>
                <c:pt idx="12">
                  <c:v>-0.14227321173053251</c:v>
                </c:pt>
                <c:pt idx="13">
                  <c:v>-0.14225499054547561</c:v>
                </c:pt>
                <c:pt idx="14">
                  <c:v>-0.14224360230481509</c:v>
                </c:pt>
                <c:pt idx="15">
                  <c:v>-0.14224132465668296</c:v>
                </c:pt>
                <c:pt idx="16">
                  <c:v>-0.14222407960653985</c:v>
                </c:pt>
                <c:pt idx="17">
                  <c:v>-0.14222115120179857</c:v>
                </c:pt>
                <c:pt idx="18">
                  <c:v>-0.14200314773772524</c:v>
                </c:pt>
                <c:pt idx="19">
                  <c:v>-0.14198590268758213</c:v>
                </c:pt>
                <c:pt idx="20">
                  <c:v>-0.14197776822996744</c:v>
                </c:pt>
                <c:pt idx="21">
                  <c:v>-0.14197711747335828</c:v>
                </c:pt>
                <c:pt idx="22">
                  <c:v>-0.14172657617882622</c:v>
                </c:pt>
                <c:pt idx="23">
                  <c:v>-0.14168688002566662</c:v>
                </c:pt>
                <c:pt idx="24">
                  <c:v>-0.14162245512135838</c:v>
                </c:pt>
                <c:pt idx="25">
                  <c:v>-0.14144935386331806</c:v>
                </c:pt>
                <c:pt idx="26">
                  <c:v>-0.14144284629722631</c:v>
                </c:pt>
                <c:pt idx="27">
                  <c:v>-0.14133937599636764</c:v>
                </c:pt>
                <c:pt idx="28">
                  <c:v>-0.14129577530355297</c:v>
                </c:pt>
                <c:pt idx="29">
                  <c:v>-0.14128276017136948</c:v>
                </c:pt>
                <c:pt idx="30">
                  <c:v>-0.14123069964263557</c:v>
                </c:pt>
                <c:pt idx="31">
                  <c:v>-0.14121768451045208</c:v>
                </c:pt>
                <c:pt idx="32">
                  <c:v>-0.14112657858516769</c:v>
                </c:pt>
                <c:pt idx="33">
                  <c:v>-0.1409280978193696</c:v>
                </c:pt>
                <c:pt idx="34">
                  <c:v>-0.14085586383575127</c:v>
                </c:pt>
                <c:pt idx="35">
                  <c:v>-0.13382769245667084</c:v>
                </c:pt>
                <c:pt idx="36">
                  <c:v>-0.13382541480853871</c:v>
                </c:pt>
                <c:pt idx="37">
                  <c:v>-0.13382118489057909</c:v>
                </c:pt>
                <c:pt idx="38">
                  <c:v>-0.13381402656787816</c:v>
                </c:pt>
                <c:pt idx="39">
                  <c:v>-0.13381174891974607</c:v>
                </c:pt>
                <c:pt idx="40">
                  <c:v>-0.13380882051500478</c:v>
                </c:pt>
                <c:pt idx="41">
                  <c:v>-0.13376391830897177</c:v>
                </c:pt>
                <c:pt idx="42">
                  <c:v>-0.1335996022651553</c:v>
                </c:pt>
                <c:pt idx="43">
                  <c:v>-0.13349385431616451</c:v>
                </c:pt>
                <c:pt idx="44">
                  <c:v>-0.13324266226502329</c:v>
                </c:pt>
                <c:pt idx="45">
                  <c:v>-0.13217054075140894</c:v>
                </c:pt>
                <c:pt idx="46">
                  <c:v>-0.13192943542770993</c:v>
                </c:pt>
                <c:pt idx="47">
                  <c:v>-0.13162423057800726</c:v>
                </c:pt>
                <c:pt idx="48">
                  <c:v>-0.13160015258346783</c:v>
                </c:pt>
                <c:pt idx="49">
                  <c:v>-0.1310954908330533</c:v>
                </c:pt>
                <c:pt idx="50">
                  <c:v>-0.13032239198135445</c:v>
                </c:pt>
                <c:pt idx="51">
                  <c:v>-0.13005428025837473</c:v>
                </c:pt>
                <c:pt idx="52">
                  <c:v>-0.12979885828927387</c:v>
                </c:pt>
                <c:pt idx="53">
                  <c:v>-0.12979300147979131</c:v>
                </c:pt>
                <c:pt idx="54">
                  <c:v>-0.12967586529013997</c:v>
                </c:pt>
                <c:pt idx="55">
                  <c:v>-0.12964104981154917</c:v>
                </c:pt>
                <c:pt idx="56">
                  <c:v>-0.12963096308410696</c:v>
                </c:pt>
                <c:pt idx="57">
                  <c:v>-0.12928703821615845</c:v>
                </c:pt>
                <c:pt idx="58">
                  <c:v>-0.12925938106026855</c:v>
                </c:pt>
                <c:pt idx="59">
                  <c:v>-0.12845732353946143</c:v>
                </c:pt>
                <c:pt idx="60">
                  <c:v>-0.12661405544397578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4B7-4650-A015-7249471D7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984032"/>
        <c:axId val="1"/>
      </c:scatterChart>
      <c:valAx>
        <c:axId val="70398403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6596371825761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73186119873815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984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82035486889059"/>
          <c:y val="0.92097264437689974"/>
          <c:w val="0.6593064904741797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IP Cep - O-C Diagr.</a:t>
            </a:r>
          </a:p>
        </c:rich>
      </c:tx>
      <c:layout>
        <c:manualLayout>
          <c:xMode val="edge"/>
          <c:yMode val="edge"/>
          <c:x val="0.3854666981793152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54206399039789"/>
          <c:y val="0.14769252958613219"/>
          <c:w val="0.82148625945130371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D1-43F8-9C60-5C7E7C8FFFFB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Meinunger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0">
                  <c:v>-9.8999999998341082E-2</c:v>
                </c:pt>
                <c:pt idx="2">
                  <c:v>9.3280000000959262E-2</c:v>
                </c:pt>
                <c:pt idx="3">
                  <c:v>-2.3840000001655426E-2</c:v>
                </c:pt>
                <c:pt idx="4">
                  <c:v>3.1960000000253785E-2</c:v>
                </c:pt>
                <c:pt idx="5">
                  <c:v>3.0559999999240972E-2</c:v>
                </c:pt>
                <c:pt idx="6">
                  <c:v>2.4799999999231659E-2</c:v>
                </c:pt>
                <c:pt idx="7">
                  <c:v>-1.359999999840511E-2</c:v>
                </c:pt>
                <c:pt idx="8">
                  <c:v>-2.7439999998023268E-2</c:v>
                </c:pt>
                <c:pt idx="9">
                  <c:v>1.3680000003660098E-2</c:v>
                </c:pt>
                <c:pt idx="10">
                  <c:v>-5.1999999996041879E-3</c:v>
                </c:pt>
                <c:pt idx="11">
                  <c:v>-5.1280000006954651E-2</c:v>
                </c:pt>
                <c:pt idx="12">
                  <c:v>-3.1600000002072193E-3</c:v>
                </c:pt>
                <c:pt idx="13">
                  <c:v>-3.8800000002083834E-2</c:v>
                </c:pt>
                <c:pt idx="14">
                  <c:v>8.0000000161817297E-4</c:v>
                </c:pt>
                <c:pt idx="15">
                  <c:v>-6.5280000002530869E-2</c:v>
                </c:pt>
                <c:pt idx="16">
                  <c:v>4.3999999979860149E-3</c:v>
                </c:pt>
                <c:pt idx="17">
                  <c:v>5.9440000004542526E-2</c:v>
                </c:pt>
                <c:pt idx="18">
                  <c:v>4.6400000064750202E-3</c:v>
                </c:pt>
                <c:pt idx="19">
                  <c:v>-4.5680000002903398E-2</c:v>
                </c:pt>
                <c:pt idx="20">
                  <c:v>8.3200000008218922E-3</c:v>
                </c:pt>
                <c:pt idx="21">
                  <c:v>-2.0559999997203704E-2</c:v>
                </c:pt>
                <c:pt idx="22">
                  <c:v>-4.8360000000684522E-2</c:v>
                </c:pt>
                <c:pt idx="23">
                  <c:v>2.7959999999438878E-2</c:v>
                </c:pt>
                <c:pt idx="24">
                  <c:v>-4.416000000492204E-2</c:v>
                </c:pt>
                <c:pt idx="25">
                  <c:v>9.7600000008242205E-3</c:v>
                </c:pt>
                <c:pt idx="26">
                  <c:v>3.7960000001476146E-2</c:v>
                </c:pt>
                <c:pt idx="27">
                  <c:v>-8.1959999995888211E-2</c:v>
                </c:pt>
                <c:pt idx="28">
                  <c:v>-3.3920000001671724E-2</c:v>
                </c:pt>
                <c:pt idx="29">
                  <c:v>-5.2000000141561031E-4</c:v>
                </c:pt>
                <c:pt idx="30">
                  <c:v>1.3080000004265457E-2</c:v>
                </c:pt>
                <c:pt idx="31">
                  <c:v>-1.0519999996176921E-2</c:v>
                </c:pt>
                <c:pt idx="32">
                  <c:v>5.2280000003520399E-2</c:v>
                </c:pt>
                <c:pt idx="33">
                  <c:v>5.3879999999480788E-2</c:v>
                </c:pt>
                <c:pt idx="34">
                  <c:v>2.9200000004493631E-2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D1-43F8-9C60-5C7E7C8FFFFB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  <c:pt idx="35">
                  <c:v>0.29490000000077998</c:v>
                </c:pt>
                <c:pt idx="36">
                  <c:v>0.29892000000108965</c:v>
                </c:pt>
                <c:pt idx="37">
                  <c:v>0.2988000000041211</c:v>
                </c:pt>
                <c:pt idx="38">
                  <c:v>0.29772000000230037</c:v>
                </c:pt>
                <c:pt idx="39">
                  <c:v>0.30344000000332016</c:v>
                </c:pt>
                <c:pt idx="40">
                  <c:v>0.29598000000260072</c:v>
                </c:pt>
                <c:pt idx="41">
                  <c:v>0.29545999999390915</c:v>
                </c:pt>
                <c:pt idx="42">
                  <c:v>0.30555999999342021</c:v>
                </c:pt>
                <c:pt idx="43">
                  <c:v>0.30585999999311753</c:v>
                </c:pt>
                <c:pt idx="44">
                  <c:v>0.31337999999232125</c:v>
                </c:pt>
                <c:pt idx="45">
                  <c:v>0.34728000000177417</c:v>
                </c:pt>
                <c:pt idx="46">
                  <c:v>0.35114000000612577</c:v>
                </c:pt>
                <c:pt idx="48">
                  <c:v>0.36295999999856576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D1-43F8-9C60-5C7E7C8FFFFB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  <c:pt idx="47">
                  <c:v>0.36082000000169501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D1-43F8-9C60-5C7E7C8FFFFB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D1-43F8-9C60-5C7E7C8FFFFB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D1-43F8-9C60-5C7E7C8FFFFB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1">
                    <c:v>0</c:v>
                  </c:pt>
                  <c:pt idx="35">
                    <c:v>1.8E-3</c:v>
                  </c:pt>
                  <c:pt idx="36">
                    <c:v>1.4E-3</c:v>
                  </c:pt>
                  <c:pt idx="37">
                    <c:v>1E-3</c:v>
                  </c:pt>
                  <c:pt idx="38">
                    <c:v>8.0000000000000004E-4</c:v>
                  </c:pt>
                  <c:pt idx="39">
                    <c:v>5.0000000000000001E-4</c:v>
                  </c:pt>
                  <c:pt idx="40">
                    <c:v>6.9999999999999999E-4</c:v>
                  </c:pt>
                  <c:pt idx="41">
                    <c:v>0</c:v>
                  </c:pt>
                  <c:pt idx="42">
                    <c:v>4.0000000000000002E-4</c:v>
                  </c:pt>
                  <c:pt idx="43">
                    <c:v>2.9999999999999997E-4</c:v>
                  </c:pt>
                  <c:pt idx="44">
                    <c:v>5.9999999999999995E-4</c:v>
                  </c:pt>
                  <c:pt idx="45">
                    <c:v>5.0000000000000001E-3</c:v>
                  </c:pt>
                  <c:pt idx="46">
                    <c:v>1.6999999999999999E-3</c:v>
                  </c:pt>
                  <c:pt idx="47">
                    <c:v>2.0000000000000001E-4</c:v>
                  </c:pt>
                  <c:pt idx="48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8D1-43F8-9C60-5C7E7C8FFFFB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4931.5</c:v>
                </c:pt>
                <c:pt idx="3">
                  <c:v>5518</c:v>
                </c:pt>
                <c:pt idx="4">
                  <c:v>7770.5</c:v>
                </c:pt>
                <c:pt idx="5">
                  <c:v>8075.5</c:v>
                </c:pt>
                <c:pt idx="6">
                  <c:v>8140</c:v>
                </c:pt>
                <c:pt idx="7">
                  <c:v>8170</c:v>
                </c:pt>
                <c:pt idx="8">
                  <c:v>9725.5</c:v>
                </c:pt>
                <c:pt idx="9">
                  <c:v>9726.5</c:v>
                </c:pt>
                <c:pt idx="10">
                  <c:v>9727.5</c:v>
                </c:pt>
                <c:pt idx="11">
                  <c:v>9731</c:v>
                </c:pt>
                <c:pt idx="12">
                  <c:v>9732</c:v>
                </c:pt>
                <c:pt idx="13">
                  <c:v>9760</c:v>
                </c:pt>
                <c:pt idx="14">
                  <c:v>9777.5</c:v>
                </c:pt>
                <c:pt idx="15">
                  <c:v>9781</c:v>
                </c:pt>
                <c:pt idx="16">
                  <c:v>9807.5</c:v>
                </c:pt>
                <c:pt idx="17">
                  <c:v>9812</c:v>
                </c:pt>
                <c:pt idx="18">
                  <c:v>10147</c:v>
                </c:pt>
                <c:pt idx="19">
                  <c:v>10173.5</c:v>
                </c:pt>
                <c:pt idx="20">
                  <c:v>10186</c:v>
                </c:pt>
                <c:pt idx="21">
                  <c:v>10187</c:v>
                </c:pt>
                <c:pt idx="22">
                  <c:v>10572</c:v>
                </c:pt>
                <c:pt idx="23">
                  <c:v>10633</c:v>
                </c:pt>
                <c:pt idx="24">
                  <c:v>10732</c:v>
                </c:pt>
                <c:pt idx="25">
                  <c:v>10998</c:v>
                </c:pt>
                <c:pt idx="26">
                  <c:v>11008</c:v>
                </c:pt>
                <c:pt idx="27">
                  <c:v>11167</c:v>
                </c:pt>
                <c:pt idx="28">
                  <c:v>11234</c:v>
                </c:pt>
                <c:pt idx="29">
                  <c:v>11254</c:v>
                </c:pt>
                <c:pt idx="30">
                  <c:v>11334</c:v>
                </c:pt>
                <c:pt idx="31">
                  <c:v>11354</c:v>
                </c:pt>
                <c:pt idx="32">
                  <c:v>11494</c:v>
                </c:pt>
                <c:pt idx="33">
                  <c:v>11799</c:v>
                </c:pt>
                <c:pt idx="34">
                  <c:v>11910</c:v>
                </c:pt>
                <c:pt idx="35">
                  <c:v>22710</c:v>
                </c:pt>
                <c:pt idx="36">
                  <c:v>22713.5</c:v>
                </c:pt>
                <c:pt idx="37">
                  <c:v>22720</c:v>
                </c:pt>
                <c:pt idx="38">
                  <c:v>22731</c:v>
                </c:pt>
                <c:pt idx="39">
                  <c:v>22734.5</c:v>
                </c:pt>
                <c:pt idx="40">
                  <c:v>22739</c:v>
                </c:pt>
                <c:pt idx="41">
                  <c:v>22808</c:v>
                </c:pt>
                <c:pt idx="42">
                  <c:v>23060.5</c:v>
                </c:pt>
                <c:pt idx="43">
                  <c:v>23223</c:v>
                </c:pt>
                <c:pt idx="44">
                  <c:v>23609</c:v>
                </c:pt>
                <c:pt idx="45">
                  <c:v>25256.5</c:v>
                </c:pt>
                <c:pt idx="46">
                  <c:v>25627</c:v>
                </c:pt>
                <c:pt idx="47">
                  <c:v>26096</c:v>
                </c:pt>
                <c:pt idx="48">
                  <c:v>26133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2">
                  <c:v>-3.8845468085668439E-2</c:v>
                </c:pt>
                <c:pt idx="3">
                  <c:v>-2.775373363580308E-2</c:v>
                </c:pt>
                <c:pt idx="4">
                  <c:v>1.484495664266533E-2</c:v>
                </c:pt>
                <c:pt idx="5">
                  <c:v>2.0613036791359174E-2</c:v>
                </c:pt>
                <c:pt idx="6">
                  <c:v>2.1832843904771471E-2</c:v>
                </c:pt>
                <c:pt idx="7">
                  <c:v>2.2400196050544635E-2</c:v>
                </c:pt>
                <c:pt idx="8">
                  <c:v>5.1817404808883222E-2</c:v>
                </c:pt>
                <c:pt idx="9">
                  <c:v>5.1836316547075656E-2</c:v>
                </c:pt>
                <c:pt idx="10">
                  <c:v>5.185522828526809E-2</c:v>
                </c:pt>
                <c:pt idx="11">
                  <c:v>5.1921419368941624E-2</c:v>
                </c:pt>
                <c:pt idx="12">
                  <c:v>5.1940331107134058E-2</c:v>
                </c:pt>
                <c:pt idx="13">
                  <c:v>5.2469859776522354E-2</c:v>
                </c:pt>
                <c:pt idx="14">
                  <c:v>5.2800815194890022E-2</c:v>
                </c:pt>
                <c:pt idx="15">
                  <c:v>5.2867006278563555E-2</c:v>
                </c:pt>
                <c:pt idx="16">
                  <c:v>5.3368167340663186E-2</c:v>
                </c:pt>
                <c:pt idx="17">
                  <c:v>5.3453270162529182E-2</c:v>
                </c:pt>
                <c:pt idx="18">
                  <c:v>5.9788702456996162E-2</c:v>
                </c:pt>
                <c:pt idx="19">
                  <c:v>6.0289863519095793E-2</c:v>
                </c:pt>
                <c:pt idx="20">
                  <c:v>6.052626024650129E-2</c:v>
                </c:pt>
                <c:pt idx="21">
                  <c:v>6.0545171984693724E-2</c:v>
                </c:pt>
                <c:pt idx="22">
                  <c:v>6.7826191188782664E-2</c:v>
                </c:pt>
                <c:pt idx="23">
                  <c:v>6.8979807218521427E-2</c:v>
                </c:pt>
                <c:pt idx="24">
                  <c:v>7.0852069299572884E-2</c:v>
                </c:pt>
                <c:pt idx="25">
                  <c:v>7.58825916587616E-2</c:v>
                </c:pt>
                <c:pt idx="26">
                  <c:v>7.6071709040685997E-2</c:v>
                </c:pt>
                <c:pt idx="27">
                  <c:v>7.9078675413283755E-2</c:v>
                </c:pt>
                <c:pt idx="28">
                  <c:v>8.0345761872177152E-2</c:v>
                </c:pt>
                <c:pt idx="29">
                  <c:v>8.0723996636025919E-2</c:v>
                </c:pt>
                <c:pt idx="30">
                  <c:v>8.2236935691421043E-2</c:v>
                </c:pt>
                <c:pt idx="31">
                  <c:v>8.261517045526981E-2</c:v>
                </c:pt>
                <c:pt idx="32">
                  <c:v>8.5262813802211235E-2</c:v>
                </c:pt>
                <c:pt idx="33">
                  <c:v>9.1030893950905079E-2</c:v>
                </c:pt>
                <c:pt idx="34">
                  <c:v>9.3130096890265801E-2</c:v>
                </c:pt>
                <c:pt idx="35">
                  <c:v>0.29737686936860491</c:v>
                </c:pt>
                <c:pt idx="36">
                  <c:v>0.29744306045227847</c:v>
                </c:pt>
                <c:pt idx="37">
                  <c:v>0.29756598675052931</c:v>
                </c:pt>
                <c:pt idx="38">
                  <c:v>0.29777401587064617</c:v>
                </c:pt>
                <c:pt idx="39">
                  <c:v>0.29784020695431968</c:v>
                </c:pt>
                <c:pt idx="40">
                  <c:v>0.29792530977618564</c:v>
                </c:pt>
                <c:pt idx="41">
                  <c:v>0.29923021971146391</c:v>
                </c:pt>
                <c:pt idx="42">
                  <c:v>0.30400543360505472</c:v>
                </c:pt>
                <c:pt idx="43">
                  <c:v>0.30707859106132601</c:v>
                </c:pt>
                <c:pt idx="44">
                  <c:v>0.31437852200360744</c:v>
                </c:pt>
                <c:pt idx="45">
                  <c:v>0.34553561067565036</c:v>
                </c:pt>
                <c:pt idx="46">
                  <c:v>0.35254240967594891</c:v>
                </c:pt>
                <c:pt idx="47">
                  <c:v>0.36141201488820274</c:v>
                </c:pt>
                <c:pt idx="48">
                  <c:v>0.362111749201323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8D1-43F8-9C60-5C7E7C8FF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6305232"/>
        <c:axId val="1"/>
      </c:scatterChart>
      <c:valAx>
        <c:axId val="586305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74806466727208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552922590837282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6305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5323871245952075"/>
          <c:y val="0.92000129214617399"/>
          <c:w val="0.94154951010270627"/>
          <c:h val="0.981539753684635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28575</xdr:rowOff>
    </xdr:from>
    <xdr:to>
      <xdr:col>16</xdr:col>
      <xdr:colOff>342900</xdr:colOff>
      <xdr:row>18</xdr:row>
      <xdr:rowOff>66675</xdr:rowOff>
    </xdr:to>
    <xdr:graphicFrame macro="">
      <xdr:nvGraphicFramePr>
        <xdr:cNvPr id="50180" name="Chart 1">
          <a:extLst>
            <a:ext uri="{FF2B5EF4-FFF2-40B4-BE49-F238E27FC236}">
              <a16:creationId xmlns:a16="http://schemas.microsoft.com/office/drawing/2014/main" id="{B3BB2706-7CAF-1EE0-1E1A-DDF49A195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504825</xdr:colOff>
      <xdr:row>0</xdr:row>
      <xdr:rowOff>190500</xdr:rowOff>
    </xdr:from>
    <xdr:to>
      <xdr:col>25</xdr:col>
      <xdr:colOff>400050</xdr:colOff>
      <xdr:row>19</xdr:row>
      <xdr:rowOff>66675</xdr:rowOff>
    </xdr:to>
    <xdr:graphicFrame macro="">
      <xdr:nvGraphicFramePr>
        <xdr:cNvPr id="50181" name="Chart 3">
          <a:extLst>
            <a:ext uri="{FF2B5EF4-FFF2-40B4-BE49-F238E27FC236}">
              <a16:creationId xmlns:a16="http://schemas.microsoft.com/office/drawing/2014/main" id="{44E42924-696C-D86E-42D0-96CE4C624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C9BD32C-014D-1C45-5D39-06F7EEF52D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32" TargetMode="External"/><Relationship Id="rId13" Type="http://schemas.openxmlformats.org/officeDocument/2006/relationships/hyperlink" Target="http://www.bav-astro.de/sfs/BAVM_link.php?BAVMnr=178" TargetMode="External"/><Relationship Id="rId18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bav-astro.de/sfs/BAVM_link.php?BAVMnr=132" TargetMode="External"/><Relationship Id="rId21" Type="http://schemas.openxmlformats.org/officeDocument/2006/relationships/hyperlink" Target="http://www.bav-astro.de/sfs/BAVM_link.php?BAVMnr=231" TargetMode="External"/><Relationship Id="rId7" Type="http://schemas.openxmlformats.org/officeDocument/2006/relationships/hyperlink" Target="http://www.bav-astro.de/sfs/BAVM_link.php?BAVMnr=132" TargetMode="External"/><Relationship Id="rId12" Type="http://schemas.openxmlformats.org/officeDocument/2006/relationships/hyperlink" Target="http://www.konkoly.hu/cgi-bin/IBVS?5592" TargetMode="External"/><Relationship Id="rId17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www.bav-astro.de/sfs/BAVM_link.php?BAVMnr=132" TargetMode="External"/><Relationship Id="rId16" Type="http://schemas.openxmlformats.org/officeDocument/2006/relationships/hyperlink" Target="http://www.bav-astro.de/sfs/BAVM_link.php?BAVMnr=220" TargetMode="External"/><Relationship Id="rId20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www.bav-astro.de/sfs/BAVM_link.php?BAVMnr=132" TargetMode="External"/><Relationship Id="rId6" Type="http://schemas.openxmlformats.org/officeDocument/2006/relationships/hyperlink" Target="http://www.bav-astro.de/sfs/BAVM_link.php?BAVMnr=132" TargetMode="External"/><Relationship Id="rId11" Type="http://schemas.openxmlformats.org/officeDocument/2006/relationships/hyperlink" Target="http://www.bav-astro.de/sfs/BAVM_link.php?BAVMnr=152" TargetMode="External"/><Relationship Id="rId5" Type="http://schemas.openxmlformats.org/officeDocument/2006/relationships/hyperlink" Target="http://www.bav-astro.de/sfs/BAVM_link.php?BAVMnr=132" TargetMode="External"/><Relationship Id="rId15" Type="http://schemas.openxmlformats.org/officeDocument/2006/relationships/hyperlink" Target="http://www.konkoly.hu/cgi-bin/IBVS?5920" TargetMode="External"/><Relationship Id="rId10" Type="http://schemas.openxmlformats.org/officeDocument/2006/relationships/hyperlink" Target="http://www.bav-astro.de/sfs/BAVM_link.php?BAVMnr=132" TargetMode="External"/><Relationship Id="rId19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bav-astro.de/sfs/BAVM_link.php?BAVMnr=132" TargetMode="External"/><Relationship Id="rId9" Type="http://schemas.openxmlformats.org/officeDocument/2006/relationships/hyperlink" Target="http://www.bav-astro.de/sfs/BAVM_link.php?BAVMnr=132" TargetMode="External"/><Relationship Id="rId14" Type="http://schemas.openxmlformats.org/officeDocument/2006/relationships/hyperlink" Target="http://var.astro.cz/oejv/issues/oejv0107.pdf" TargetMode="External"/><Relationship Id="rId22" Type="http://schemas.openxmlformats.org/officeDocument/2006/relationships/hyperlink" Target="http://www.konkoly.hu/cgi-bin/IBVS?60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12"/>
  </sheetPr>
  <dimension ref="A1:Q92"/>
  <sheetViews>
    <sheetView tabSelected="1" workbookViewId="0">
      <pane xSplit="13" ySplit="21" topLeftCell="N67" activePane="bottomRight" state="frozen"/>
      <selection pane="topRight" activeCell="N1" sqref="N1"/>
      <selection pane="bottomLeft" activeCell="A22" sqref="A22"/>
      <selection pane="bottomRight" activeCell="F12" sqref="F12"/>
    </sheetView>
  </sheetViews>
  <sheetFormatPr defaultColWidth="10.28515625" defaultRowHeight="12.75" x14ac:dyDescent="0.2"/>
  <cols>
    <col min="1" max="1" width="16.42578125" customWidth="1"/>
    <col min="2" max="2" width="5.140625" customWidth="1"/>
    <col min="3" max="3" width="11.85546875" style="17" customWidth="1"/>
    <col min="4" max="4" width="9.42578125" style="17" customWidth="1"/>
    <col min="5" max="5" width="9.85546875" customWidth="1"/>
    <col min="6" max="6" width="16.85546875" customWidth="1"/>
    <col min="7" max="7" width="8.140625" customWidth="1"/>
    <col min="8" max="8" width="8.5703125" customWidth="1"/>
    <col min="9" max="9" width="10.5703125" style="17" customWidth="1"/>
    <col min="10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62</v>
      </c>
    </row>
    <row r="2" spans="1:6" x14ac:dyDescent="0.2">
      <c r="A2" t="s">
        <v>27</v>
      </c>
      <c r="B2" t="s">
        <v>34</v>
      </c>
    </row>
    <row r="3" spans="1:6" ht="13.5" thickBot="1" x14ac:dyDescent="0.25">
      <c r="A3" t="s">
        <v>33</v>
      </c>
    </row>
    <row r="4" spans="1:6" ht="14.25" thickTop="1" thickBot="1" x14ac:dyDescent="0.25">
      <c r="A4" s="8" t="s">
        <v>2</v>
      </c>
      <c r="C4" s="54">
        <v>29495.57</v>
      </c>
      <c r="D4" s="28">
        <v>0.89888000000000001</v>
      </c>
    </row>
    <row r="5" spans="1:6" ht="13.5" thickTop="1" x14ac:dyDescent="0.2">
      <c r="A5" s="20" t="s">
        <v>48</v>
      </c>
      <c r="B5" s="19"/>
      <c r="C5" s="33">
        <v>-9.5</v>
      </c>
      <c r="D5" s="19" t="s">
        <v>49</v>
      </c>
    </row>
    <row r="6" spans="1:6" x14ac:dyDescent="0.2">
      <c r="A6" s="8" t="s">
        <v>3</v>
      </c>
    </row>
    <row r="7" spans="1:6" x14ac:dyDescent="0.2">
      <c r="A7" t="s">
        <v>4</v>
      </c>
      <c r="C7" s="17">
        <v>29495.57</v>
      </c>
    </row>
    <row r="8" spans="1:6" x14ac:dyDescent="0.2">
      <c r="A8" t="s">
        <v>5</v>
      </c>
      <c r="C8" s="17">
        <v>0.89889891173819247</v>
      </c>
    </row>
    <row r="9" spans="1:6" x14ac:dyDescent="0.2">
      <c r="A9" s="26" t="s">
        <v>53</v>
      </c>
      <c r="B9" s="27">
        <v>56</v>
      </c>
      <c r="C9" s="55" t="str">
        <f>"F"&amp;B9</f>
        <v>F56</v>
      </c>
      <c r="D9" s="11" t="str">
        <f>"G"&amp;B9</f>
        <v>G56</v>
      </c>
    </row>
    <row r="10" spans="1:6" ht="13.5" thickBot="1" x14ac:dyDescent="0.25">
      <c r="A10" s="19"/>
      <c r="B10" s="19"/>
      <c r="C10" s="7" t="s">
        <v>22</v>
      </c>
      <c r="D10" s="7" t="s">
        <v>23</v>
      </c>
      <c r="E10" s="19"/>
    </row>
    <row r="11" spans="1:6" x14ac:dyDescent="0.2">
      <c r="A11" s="19" t="s">
        <v>18</v>
      </c>
      <c r="B11" s="19"/>
      <c r="C11" s="56">
        <f ca="1">INTERCEPT(INDIRECT($D$9):G989,INDIRECT($C$9):F989)</f>
        <v>-0.14860637505101498</v>
      </c>
      <c r="D11" s="6"/>
      <c r="E11" s="19"/>
    </row>
    <row r="12" spans="1:6" x14ac:dyDescent="0.2">
      <c r="A12" s="19" t="s">
        <v>19</v>
      </c>
      <c r="B12" s="19"/>
      <c r="C12" s="56">
        <f ca="1">SLOPE(INDIRECT($D$9):G989,INDIRECT($C$9):F989)</f>
        <v>6.5075660917411505E-7</v>
      </c>
      <c r="D12" s="6"/>
      <c r="E12" s="19"/>
    </row>
    <row r="13" spans="1:6" x14ac:dyDescent="0.2">
      <c r="A13" s="19" t="s">
        <v>21</v>
      </c>
      <c r="B13" s="19"/>
      <c r="C13" s="6" t="s">
        <v>16</v>
      </c>
    </row>
    <row r="14" spans="1:6" x14ac:dyDescent="0.2">
      <c r="A14" s="19"/>
      <c r="B14" s="19"/>
      <c r="C14" s="19"/>
    </row>
    <row r="15" spans="1:6" x14ac:dyDescent="0.2">
      <c r="A15" s="21" t="s">
        <v>20</v>
      </c>
      <c r="B15" s="19"/>
      <c r="C15" s="57">
        <f ca="1">(C7+C11)+(C8+C12)*INT(MAX(F21:F3530))</f>
        <v>59873.73210813677</v>
      </c>
      <c r="E15" s="22" t="s">
        <v>57</v>
      </c>
      <c r="F15" s="33">
        <v>1</v>
      </c>
    </row>
    <row r="16" spans="1:6" x14ac:dyDescent="0.2">
      <c r="A16" s="24" t="s">
        <v>6</v>
      </c>
      <c r="B16" s="19"/>
      <c r="C16" s="58">
        <f ca="1">+C8+C12</f>
        <v>0.89889956249480163</v>
      </c>
      <c r="E16" s="22" t="s">
        <v>50</v>
      </c>
      <c r="F16" s="23">
        <f ca="1">NOW()+15018.5+$C$5/24</f>
        <v>60163.492918749995</v>
      </c>
    </row>
    <row r="17" spans="1:17" ht="13.5" thickBot="1" x14ac:dyDescent="0.25">
      <c r="A17" s="22" t="s">
        <v>46</v>
      </c>
      <c r="B17" s="19"/>
      <c r="C17" s="19">
        <f>COUNT(C21:C2188)</f>
        <v>61</v>
      </c>
      <c r="E17" s="22" t="s">
        <v>58</v>
      </c>
      <c r="F17" s="23">
        <f ca="1">ROUND(2*(F16-$C$7)/$C$8,0)/2+F15</f>
        <v>34118</v>
      </c>
    </row>
    <row r="18" spans="1:17" ht="14.25" thickTop="1" thickBot="1" x14ac:dyDescent="0.25">
      <c r="A18" s="24" t="s">
        <v>7</v>
      </c>
      <c r="B18" s="19"/>
      <c r="C18" s="59">
        <f ca="1">+C15</f>
        <v>59873.73210813677</v>
      </c>
      <c r="D18" s="34">
        <f ca="1">+C16</f>
        <v>0.89889956249480163</v>
      </c>
      <c r="E18" s="22" t="s">
        <v>51</v>
      </c>
      <c r="F18" s="11">
        <f ca="1">ROUND(2*(F16-$C$15)/$C$16,0)/2+F15</f>
        <v>323.5</v>
      </c>
    </row>
    <row r="19" spans="1:17" ht="13.5" thickTop="1" x14ac:dyDescent="0.2">
      <c r="E19" s="22" t="s">
        <v>52</v>
      </c>
      <c r="F19" s="25">
        <f ca="1">+$C$15+$C$16*F18-15018.5-$C$5/24</f>
        <v>45146.421949937176</v>
      </c>
    </row>
    <row r="20" spans="1:17" ht="13.5" thickBot="1" x14ac:dyDescent="0.25">
      <c r="A20" s="7" t="s">
        <v>8</v>
      </c>
      <c r="B20" s="7" t="s">
        <v>9</v>
      </c>
      <c r="C20" s="29" t="s">
        <v>10</v>
      </c>
      <c r="D20" s="29" t="s">
        <v>15</v>
      </c>
      <c r="E20" s="7" t="s">
        <v>11</v>
      </c>
      <c r="F20" s="7" t="s">
        <v>12</v>
      </c>
      <c r="G20" s="7" t="s">
        <v>13</v>
      </c>
      <c r="H20" s="10" t="s">
        <v>71</v>
      </c>
      <c r="I20" s="18" t="s">
        <v>74</v>
      </c>
      <c r="J20" s="10" t="s">
        <v>68</v>
      </c>
      <c r="K20" s="10" t="s">
        <v>66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17</v>
      </c>
    </row>
    <row r="21" spans="1:17" x14ac:dyDescent="0.2">
      <c r="A21" t="s">
        <v>42</v>
      </c>
      <c r="C21" s="17">
        <v>29495.471000000001</v>
      </c>
      <c r="E21">
        <f t="shared" ref="E21:E52" si="0">+(C21-C$7)/C$8</f>
        <v>-0.11013474230033909</v>
      </c>
      <c r="F21">
        <f t="shared" ref="F21:F31" si="1">ROUND(2*E21,0)/2</f>
        <v>0</v>
      </c>
      <c r="G21">
        <f t="shared" ref="G21:G52" si="2">+C21-(C$7+F21*C$8)</f>
        <v>-9.8999999998341082E-2</v>
      </c>
      <c r="I21" s="17">
        <f>G21</f>
        <v>-9.8999999998341082E-2</v>
      </c>
      <c r="Q21" s="2">
        <f t="shared" ref="Q21:Q52" si="3">+C21-15018.5</f>
        <v>14476.971000000001</v>
      </c>
    </row>
    <row r="22" spans="1:17" x14ac:dyDescent="0.2">
      <c r="A22" t="s">
        <v>14</v>
      </c>
      <c r="B22" s="6"/>
      <c r="C22" s="17">
        <v>29495.57</v>
      </c>
      <c r="D22" s="17" t="s">
        <v>16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Q22" s="2">
        <f t="shared" si="3"/>
        <v>14477.07</v>
      </c>
    </row>
    <row r="23" spans="1:17" x14ac:dyDescent="0.2">
      <c r="A23" t="s">
        <v>42</v>
      </c>
      <c r="C23" s="17">
        <v>33928.49</v>
      </c>
      <c r="E23">
        <f t="shared" si="0"/>
        <v>4931.500018648484</v>
      </c>
      <c r="F23">
        <f t="shared" si="1"/>
        <v>4931.5</v>
      </c>
      <c r="G23">
        <f t="shared" si="2"/>
        <v>1.6763100575190037E-5</v>
      </c>
      <c r="I23" s="17">
        <f t="shared" ref="I23:I55" si="4">G23</f>
        <v>1.6763100575190037E-5</v>
      </c>
      <c r="O23">
        <f t="shared" ref="O23:O54" ca="1" si="5">+C$11+C$12*$F23</f>
        <v>-0.14539716883287285</v>
      </c>
      <c r="Q23" s="2">
        <f t="shared" si="3"/>
        <v>18909.989999999998</v>
      </c>
    </row>
    <row r="24" spans="1:17" x14ac:dyDescent="0.2">
      <c r="A24" t="s">
        <v>42</v>
      </c>
      <c r="C24" s="17">
        <v>34455.565999999999</v>
      </c>
      <c r="E24">
        <f t="shared" si="0"/>
        <v>5517.857386665316</v>
      </c>
      <c r="F24">
        <f t="shared" si="1"/>
        <v>5518</v>
      </c>
      <c r="G24">
        <f t="shared" si="2"/>
        <v>-0.12819497134478297</v>
      </c>
      <c r="I24" s="17">
        <f t="shared" si="4"/>
        <v>-0.12819497134478297</v>
      </c>
      <c r="O24">
        <f t="shared" ca="1" si="5"/>
        <v>-0.14501550008159222</v>
      </c>
      <c r="Q24" s="2">
        <f t="shared" si="3"/>
        <v>19437.065999999999</v>
      </c>
    </row>
    <row r="25" spans="1:17" x14ac:dyDescent="0.2">
      <c r="A25" t="s">
        <v>42</v>
      </c>
      <c r="C25" s="17">
        <v>36480.349000000002</v>
      </c>
      <c r="E25">
        <f t="shared" si="0"/>
        <v>7770.3720727546552</v>
      </c>
      <c r="F25">
        <f t="shared" si="1"/>
        <v>7770.5</v>
      </c>
      <c r="G25">
        <f t="shared" si="2"/>
        <v>-0.11499366162024671</v>
      </c>
      <c r="I25" s="17">
        <f t="shared" si="4"/>
        <v>-0.11499366162024671</v>
      </c>
      <c r="O25">
        <f t="shared" ca="1" si="5"/>
        <v>-0.14354967081942752</v>
      </c>
      <c r="Q25" s="2">
        <f t="shared" si="3"/>
        <v>21461.849000000002</v>
      </c>
    </row>
    <row r="26" spans="1:17" x14ac:dyDescent="0.2">
      <c r="A26" t="s">
        <v>42</v>
      </c>
      <c r="C26" s="17">
        <v>36754.506000000001</v>
      </c>
      <c r="E26">
        <f t="shared" si="0"/>
        <v>8075.3640984651593</v>
      </c>
      <c r="F26">
        <f t="shared" si="1"/>
        <v>8075.5</v>
      </c>
      <c r="G26">
        <f t="shared" si="2"/>
        <v>-0.12216174176865024</v>
      </c>
      <c r="I26" s="17">
        <f t="shared" si="4"/>
        <v>-0.12216174176865024</v>
      </c>
      <c r="O26">
        <f t="shared" ca="1" si="5"/>
        <v>-0.14335119005362942</v>
      </c>
      <c r="Q26" s="2">
        <f t="shared" si="3"/>
        <v>21736.006000000001</v>
      </c>
    </row>
    <row r="27" spans="1:17" x14ac:dyDescent="0.2">
      <c r="A27" t="s">
        <v>42</v>
      </c>
      <c r="C27" s="17">
        <v>36812.478000000003</v>
      </c>
      <c r="E27">
        <f t="shared" si="0"/>
        <v>8139.8563336241741</v>
      </c>
      <c r="F27">
        <f t="shared" si="1"/>
        <v>8140</v>
      </c>
      <c r="G27">
        <f t="shared" si="2"/>
        <v>-0.12914154888130724</v>
      </c>
      <c r="I27" s="17">
        <f t="shared" si="4"/>
        <v>-0.12914154888130724</v>
      </c>
      <c r="O27">
        <f t="shared" ca="1" si="5"/>
        <v>-0.1433092162523377</v>
      </c>
      <c r="Q27" s="2">
        <f t="shared" si="3"/>
        <v>21793.978000000003</v>
      </c>
    </row>
    <row r="28" spans="1:17" x14ac:dyDescent="0.2">
      <c r="A28" t="s">
        <v>42</v>
      </c>
      <c r="C28" s="17">
        <v>36839.406000000003</v>
      </c>
      <c r="D28" s="31"/>
      <c r="E28">
        <f t="shared" si="0"/>
        <v>8169.812983530368</v>
      </c>
      <c r="F28">
        <f t="shared" si="1"/>
        <v>8170</v>
      </c>
      <c r="G28">
        <f t="shared" si="2"/>
        <v>-0.16810890103079146</v>
      </c>
      <c r="I28" s="17">
        <f t="shared" si="4"/>
        <v>-0.16810890103079146</v>
      </c>
      <c r="O28">
        <f t="shared" ca="1" si="5"/>
        <v>-0.14328969355406246</v>
      </c>
      <c r="Q28" s="2">
        <f t="shared" si="3"/>
        <v>21820.906000000003</v>
      </c>
    </row>
    <row r="29" spans="1:17" x14ac:dyDescent="0.2">
      <c r="A29" t="s">
        <v>42</v>
      </c>
      <c r="C29" s="17">
        <v>38237.599999999999</v>
      </c>
      <c r="E29">
        <f t="shared" si="0"/>
        <v>9725.2648610905726</v>
      </c>
      <c r="F29">
        <f t="shared" si="1"/>
        <v>9725.5</v>
      </c>
      <c r="G29">
        <f t="shared" si="2"/>
        <v>-0.21136610979010584</v>
      </c>
      <c r="I29" s="17">
        <f t="shared" si="4"/>
        <v>-0.21136610979010584</v>
      </c>
      <c r="O29">
        <f t="shared" ca="1" si="5"/>
        <v>-0.14227744164849213</v>
      </c>
      <c r="Q29" s="2">
        <f t="shared" si="3"/>
        <v>23219.1</v>
      </c>
    </row>
    <row r="30" spans="1:17" x14ac:dyDescent="0.2">
      <c r="A30" t="s">
        <v>42</v>
      </c>
      <c r="C30" s="17">
        <v>38238.54</v>
      </c>
      <c r="E30">
        <f t="shared" si="0"/>
        <v>9726.3105849063741</v>
      </c>
      <c r="F30">
        <f t="shared" si="1"/>
        <v>9726.5</v>
      </c>
      <c r="G30">
        <f t="shared" si="2"/>
        <v>-0.17026502153021283</v>
      </c>
      <c r="I30" s="17">
        <f t="shared" si="4"/>
        <v>-0.17026502153021283</v>
      </c>
      <c r="O30">
        <f t="shared" ca="1" si="5"/>
        <v>-0.14227679089188294</v>
      </c>
      <c r="Q30" s="2">
        <f t="shared" si="3"/>
        <v>23220.04</v>
      </c>
    </row>
    <row r="31" spans="1:17" x14ac:dyDescent="0.2">
      <c r="A31" t="s">
        <v>42</v>
      </c>
      <c r="C31" s="17">
        <v>38239.42</v>
      </c>
      <c r="E31">
        <f t="shared" si="0"/>
        <v>9727.2895603935012</v>
      </c>
      <c r="F31">
        <f t="shared" si="1"/>
        <v>9727.5</v>
      </c>
      <c r="G31">
        <f t="shared" si="2"/>
        <v>-0.18916393326799152</v>
      </c>
      <c r="I31" s="17">
        <f t="shared" si="4"/>
        <v>-0.18916393326799152</v>
      </c>
      <c r="O31">
        <f t="shared" ca="1" si="5"/>
        <v>-0.14227614013527379</v>
      </c>
      <c r="Q31" s="2">
        <f t="shared" si="3"/>
        <v>23220.92</v>
      </c>
    </row>
    <row r="32" spans="1:17" x14ac:dyDescent="0.2">
      <c r="A32" t="s">
        <v>43</v>
      </c>
      <c r="C32" s="17">
        <v>38242.519999999997</v>
      </c>
      <c r="E32">
        <f t="shared" si="0"/>
        <v>9730.7382240413463</v>
      </c>
      <c r="F32" s="11">
        <f>ROUND(2*E32,0)/2+0.5</f>
        <v>9731</v>
      </c>
      <c r="G32">
        <f t="shared" si="2"/>
        <v>-0.23531012435705634</v>
      </c>
      <c r="I32" s="17">
        <f t="shared" si="4"/>
        <v>-0.23531012435705634</v>
      </c>
      <c r="O32">
        <f t="shared" ca="1" si="5"/>
        <v>-0.14227386248714166</v>
      </c>
      <c r="Q32" s="2">
        <f t="shared" si="3"/>
        <v>23224.019999999997</v>
      </c>
    </row>
    <row r="33" spans="1:17" x14ac:dyDescent="0.2">
      <c r="A33" t="s">
        <v>43</v>
      </c>
      <c r="C33" s="17">
        <v>38243.466999999997</v>
      </c>
      <c r="E33">
        <f t="shared" si="0"/>
        <v>9731.7917351621545</v>
      </c>
      <c r="F33">
        <f>ROUND(2*E33,0)/2</f>
        <v>9732</v>
      </c>
      <c r="G33">
        <f t="shared" si="2"/>
        <v>-0.18720903609209927</v>
      </c>
      <c r="I33" s="17">
        <f t="shared" si="4"/>
        <v>-0.18720903609209927</v>
      </c>
      <c r="O33">
        <f t="shared" ca="1" si="5"/>
        <v>-0.14227321173053251</v>
      </c>
      <c r="Q33" s="2">
        <f t="shared" si="3"/>
        <v>23224.966999999997</v>
      </c>
    </row>
    <row r="34" spans="1:17" x14ac:dyDescent="0.2">
      <c r="A34" t="s">
        <v>43</v>
      </c>
      <c r="C34" s="17">
        <v>38268.6</v>
      </c>
      <c r="E34">
        <f t="shared" si="0"/>
        <v>9759.7514975690337</v>
      </c>
      <c r="F34">
        <f>ROUND(2*E34,0)/2</f>
        <v>9760</v>
      </c>
      <c r="G34">
        <f t="shared" si="2"/>
        <v>-0.2233785647622426</v>
      </c>
      <c r="I34" s="17">
        <f t="shared" si="4"/>
        <v>-0.2233785647622426</v>
      </c>
      <c r="O34">
        <f t="shared" ca="1" si="5"/>
        <v>-0.14225499054547561</v>
      </c>
      <c r="Q34" s="2">
        <f t="shared" si="3"/>
        <v>23250.1</v>
      </c>
    </row>
    <row r="35" spans="1:17" x14ac:dyDescent="0.2">
      <c r="A35" t="s">
        <v>43</v>
      </c>
      <c r="C35" s="17">
        <v>38284.370000000003</v>
      </c>
      <c r="E35">
        <f t="shared" si="0"/>
        <v>9777.295183287275</v>
      </c>
      <c r="F35">
        <f>ROUND(2*E35,0)/2</f>
        <v>9777.5</v>
      </c>
      <c r="G35">
        <f t="shared" si="2"/>
        <v>-0.18410952017438831</v>
      </c>
      <c r="I35" s="17">
        <f t="shared" si="4"/>
        <v>-0.18410952017438831</v>
      </c>
      <c r="O35">
        <f t="shared" ca="1" si="5"/>
        <v>-0.14224360230481509</v>
      </c>
      <c r="Q35" s="2">
        <f t="shared" si="3"/>
        <v>23265.870000000003</v>
      </c>
    </row>
    <row r="36" spans="1:17" x14ac:dyDescent="0.2">
      <c r="A36" t="s">
        <v>43</v>
      </c>
      <c r="C36" s="17">
        <v>38287.449999999997</v>
      </c>
      <c r="E36">
        <f t="shared" si="0"/>
        <v>9780.7215974922256</v>
      </c>
      <c r="F36" s="11">
        <f>ROUND(2*E36,0)/2+0.5</f>
        <v>9781</v>
      </c>
      <c r="G36">
        <f t="shared" si="2"/>
        <v>-0.2502557112602517</v>
      </c>
      <c r="I36" s="17">
        <f t="shared" si="4"/>
        <v>-0.2502557112602517</v>
      </c>
      <c r="O36">
        <f t="shared" ca="1" si="5"/>
        <v>-0.14224132465668296</v>
      </c>
      <c r="Q36" s="2">
        <f t="shared" si="3"/>
        <v>23268.949999999997</v>
      </c>
    </row>
    <row r="37" spans="1:17" x14ac:dyDescent="0.2">
      <c r="A37" t="s">
        <v>43</v>
      </c>
      <c r="C37" s="17">
        <v>38311.339999999997</v>
      </c>
      <c r="E37">
        <f t="shared" si="0"/>
        <v>9807.2985570235305</v>
      </c>
      <c r="F37">
        <f>ROUND(2*E37,0)/2</f>
        <v>9807.5</v>
      </c>
      <c r="G37">
        <f t="shared" si="2"/>
        <v>-0.18107687232259195</v>
      </c>
      <c r="I37" s="17">
        <f t="shared" si="4"/>
        <v>-0.18107687232259195</v>
      </c>
      <c r="O37">
        <f t="shared" ca="1" si="5"/>
        <v>-0.14222407960653985</v>
      </c>
      <c r="Q37" s="2">
        <f t="shared" si="3"/>
        <v>23292.839999999997</v>
      </c>
    </row>
    <row r="38" spans="1:17" x14ac:dyDescent="0.2">
      <c r="A38" t="s">
        <v>43</v>
      </c>
      <c r="C38" s="17">
        <v>38315.440000000002</v>
      </c>
      <c r="E38">
        <f t="shared" si="0"/>
        <v>9811.8596928158495</v>
      </c>
      <c r="F38">
        <f>ROUND(2*E38,0)/2</f>
        <v>9812</v>
      </c>
      <c r="G38">
        <f t="shared" si="2"/>
        <v>-0.12612197513954015</v>
      </c>
      <c r="I38" s="17">
        <f t="shared" si="4"/>
        <v>-0.12612197513954015</v>
      </c>
      <c r="O38">
        <f t="shared" ca="1" si="5"/>
        <v>-0.14222115120179857</v>
      </c>
      <c r="Q38" s="2">
        <f t="shared" si="3"/>
        <v>23296.940000000002</v>
      </c>
    </row>
    <row r="39" spans="1:17" x14ac:dyDescent="0.2">
      <c r="A39" t="s">
        <v>43</v>
      </c>
      <c r="C39" s="17">
        <v>38616.51</v>
      </c>
      <c r="E39">
        <f t="shared" si="0"/>
        <v>10146.791681350382</v>
      </c>
      <c r="F39">
        <f>ROUND(2*E39,0)/2</f>
        <v>10147</v>
      </c>
      <c r="G39">
        <f t="shared" si="2"/>
        <v>-0.18725740743684582</v>
      </c>
      <c r="I39" s="17">
        <f t="shared" si="4"/>
        <v>-0.18725740743684582</v>
      </c>
      <c r="O39">
        <f t="shared" ca="1" si="5"/>
        <v>-0.14200314773772524</v>
      </c>
      <c r="Q39" s="2">
        <f t="shared" si="3"/>
        <v>23598.010000000002</v>
      </c>
    </row>
    <row r="40" spans="1:17" x14ac:dyDescent="0.2">
      <c r="A40" t="s">
        <v>43</v>
      </c>
      <c r="C40" s="17">
        <v>38640.28</v>
      </c>
      <c r="E40">
        <f t="shared" si="0"/>
        <v>10173.235144224347</v>
      </c>
      <c r="F40" s="11">
        <f>ROUND(2*E40,0)/2+0.5</f>
        <v>10173.5</v>
      </c>
      <c r="G40">
        <f t="shared" si="2"/>
        <v>-0.23807856850180542</v>
      </c>
      <c r="I40" s="17">
        <f t="shared" si="4"/>
        <v>-0.23807856850180542</v>
      </c>
      <c r="O40">
        <f t="shared" ca="1" si="5"/>
        <v>-0.14198590268758213</v>
      </c>
      <c r="Q40" s="2">
        <f t="shared" si="3"/>
        <v>23621.78</v>
      </c>
    </row>
    <row r="41" spans="1:17" x14ac:dyDescent="0.2">
      <c r="A41" t="s">
        <v>43</v>
      </c>
      <c r="C41" s="17">
        <v>38651.57</v>
      </c>
      <c r="E41">
        <f t="shared" si="0"/>
        <v>10185.794954735375</v>
      </c>
      <c r="F41">
        <f>ROUND(2*E41,0)/2</f>
        <v>10186</v>
      </c>
      <c r="G41">
        <f t="shared" si="2"/>
        <v>-0.18431496522680391</v>
      </c>
      <c r="I41" s="17">
        <f t="shared" si="4"/>
        <v>-0.18431496522680391</v>
      </c>
      <c r="O41">
        <f t="shared" ca="1" si="5"/>
        <v>-0.14197776822996744</v>
      </c>
      <c r="Q41" s="2">
        <f t="shared" si="3"/>
        <v>23633.07</v>
      </c>
    </row>
    <row r="42" spans="1:17" x14ac:dyDescent="0.2">
      <c r="A42" t="s">
        <v>43</v>
      </c>
      <c r="C42" s="17">
        <v>38652.44</v>
      </c>
      <c r="E42">
        <f t="shared" si="0"/>
        <v>10186.762805501065</v>
      </c>
      <c r="F42">
        <f>ROUND(2*E42,0)/2</f>
        <v>10187</v>
      </c>
      <c r="G42">
        <f t="shared" si="2"/>
        <v>-0.21321387696661986</v>
      </c>
      <c r="I42" s="17">
        <f t="shared" si="4"/>
        <v>-0.21321387696661986</v>
      </c>
      <c r="O42">
        <f t="shared" ca="1" si="5"/>
        <v>-0.14197711747335828</v>
      </c>
      <c r="Q42" s="2">
        <f t="shared" si="3"/>
        <v>23633.940000000002</v>
      </c>
    </row>
    <row r="43" spans="1:17" x14ac:dyDescent="0.2">
      <c r="A43" t="s">
        <v>43</v>
      </c>
      <c r="C43" s="17">
        <v>38998.481</v>
      </c>
      <c r="E43">
        <f t="shared" si="0"/>
        <v>10571.723778844396</v>
      </c>
      <c r="F43" s="11">
        <f>ROUND(2*E43,0)/2+0.5</f>
        <v>10572</v>
      </c>
      <c r="G43">
        <f t="shared" si="2"/>
        <v>-0.24829489616968203</v>
      </c>
      <c r="I43" s="17">
        <f t="shared" si="4"/>
        <v>-0.24829489616968203</v>
      </c>
      <c r="O43">
        <f t="shared" ca="1" si="5"/>
        <v>-0.14172657617882622</v>
      </c>
      <c r="Q43" s="2">
        <f t="shared" si="3"/>
        <v>23979.981</v>
      </c>
    </row>
    <row r="44" spans="1:17" x14ac:dyDescent="0.2">
      <c r="A44" t="s">
        <v>43</v>
      </c>
      <c r="C44" s="17">
        <v>39053.389000000003</v>
      </c>
      <c r="E44">
        <f t="shared" si="0"/>
        <v>10632.807399352767</v>
      </c>
      <c r="F44">
        <f>ROUND(2*E44,0)/2</f>
        <v>10633</v>
      </c>
      <c r="G44">
        <f t="shared" si="2"/>
        <v>-0.17312851220049197</v>
      </c>
      <c r="I44" s="17">
        <f t="shared" si="4"/>
        <v>-0.17312851220049197</v>
      </c>
      <c r="O44">
        <f t="shared" ca="1" si="5"/>
        <v>-0.14168688002566662</v>
      </c>
      <c r="Q44" s="2">
        <f t="shared" si="3"/>
        <v>24034.889000000003</v>
      </c>
    </row>
    <row r="45" spans="1:17" x14ac:dyDescent="0.2">
      <c r="A45" t="s">
        <v>43</v>
      </c>
      <c r="C45" s="17">
        <v>39142.305999999997</v>
      </c>
      <c r="E45">
        <f t="shared" si="0"/>
        <v>10731.72508502229</v>
      </c>
      <c r="F45" s="11">
        <f>ROUND(2*E45,0)/2+0.5</f>
        <v>10732</v>
      </c>
      <c r="G45">
        <f t="shared" si="2"/>
        <v>-0.24712077428557677</v>
      </c>
      <c r="I45" s="17">
        <f t="shared" si="4"/>
        <v>-0.24712077428557677</v>
      </c>
      <c r="O45">
        <f t="shared" ca="1" si="5"/>
        <v>-0.14162245512135838</v>
      </c>
      <c r="Q45" s="2">
        <f t="shared" si="3"/>
        <v>24123.805999999997</v>
      </c>
    </row>
    <row r="46" spans="1:17" x14ac:dyDescent="0.2">
      <c r="A46" t="s">
        <v>43</v>
      </c>
      <c r="C46" s="17">
        <v>39381.462</v>
      </c>
      <c r="E46">
        <f t="shared" si="0"/>
        <v>10997.779473204326</v>
      </c>
      <c r="F46">
        <f>ROUND(2*E46,0)/2</f>
        <v>10998</v>
      </c>
      <c r="G46">
        <f t="shared" si="2"/>
        <v>-0.19823129664291628</v>
      </c>
      <c r="I46" s="17">
        <f t="shared" si="4"/>
        <v>-0.19823129664291628</v>
      </c>
      <c r="O46">
        <f t="shared" ca="1" si="5"/>
        <v>-0.14144935386331806</v>
      </c>
      <c r="Q46" s="2">
        <f t="shared" si="3"/>
        <v>24362.962</v>
      </c>
    </row>
    <row r="47" spans="1:17" x14ac:dyDescent="0.2">
      <c r="A47" t="s">
        <v>43</v>
      </c>
      <c r="C47" s="17">
        <v>39390.478999999999</v>
      </c>
      <c r="E47">
        <f t="shared" si="0"/>
        <v>11007.810634530979</v>
      </c>
      <c r="F47">
        <f>ROUND(2*E47,0)/2</f>
        <v>11008</v>
      </c>
      <c r="G47">
        <f t="shared" si="2"/>
        <v>-0.17022041402378818</v>
      </c>
      <c r="I47" s="17">
        <f t="shared" si="4"/>
        <v>-0.17022041402378818</v>
      </c>
      <c r="O47">
        <f t="shared" ca="1" si="5"/>
        <v>-0.14144284629722631</v>
      </c>
      <c r="Q47" s="2">
        <f t="shared" si="3"/>
        <v>24371.978999999999</v>
      </c>
    </row>
    <row r="48" spans="1:17" x14ac:dyDescent="0.2">
      <c r="A48" t="s">
        <v>43</v>
      </c>
      <c r="C48" s="17">
        <v>39533.281000000003</v>
      </c>
      <c r="E48">
        <f t="shared" si="0"/>
        <v>11166.67388170509</v>
      </c>
      <c r="F48" s="11">
        <f>ROUND(2*E48,0)/2+0.5</f>
        <v>11167</v>
      </c>
      <c r="G48">
        <f t="shared" si="2"/>
        <v>-0.2931473803910194</v>
      </c>
      <c r="I48" s="17">
        <f t="shared" si="4"/>
        <v>-0.2931473803910194</v>
      </c>
      <c r="O48">
        <f t="shared" ca="1" si="5"/>
        <v>-0.14133937599636764</v>
      </c>
      <c r="Q48" s="2">
        <f t="shared" si="3"/>
        <v>24514.781000000003</v>
      </c>
    </row>
    <row r="49" spans="1:17" x14ac:dyDescent="0.2">
      <c r="A49" t="s">
        <v>43</v>
      </c>
      <c r="C49" s="17">
        <v>39593.553999999996</v>
      </c>
      <c r="E49">
        <f t="shared" si="0"/>
        <v>11233.725915268513</v>
      </c>
      <c r="F49" s="11">
        <f>ROUND(2*E49,0)/2+0.5</f>
        <v>11234</v>
      </c>
      <c r="G49">
        <f t="shared" si="2"/>
        <v>-0.24637446685665054</v>
      </c>
      <c r="I49" s="17">
        <f t="shared" si="4"/>
        <v>-0.24637446685665054</v>
      </c>
      <c r="O49">
        <f t="shared" ca="1" si="5"/>
        <v>-0.14129577530355297</v>
      </c>
      <c r="Q49" s="2">
        <f t="shared" si="3"/>
        <v>24575.053999999996</v>
      </c>
    </row>
    <row r="50" spans="1:17" x14ac:dyDescent="0.2">
      <c r="A50" t="s">
        <v>43</v>
      </c>
      <c r="C50" s="17">
        <v>39611.565000000002</v>
      </c>
      <c r="E50">
        <f t="shared" si="0"/>
        <v>11253.762651062507</v>
      </c>
      <c r="F50">
        <f>ROUND(2*E50,0)/2</f>
        <v>11254</v>
      </c>
      <c r="G50">
        <f t="shared" si="2"/>
        <v>-0.21335270161216613</v>
      </c>
      <c r="I50" s="17">
        <f t="shared" si="4"/>
        <v>-0.21335270161216613</v>
      </c>
      <c r="O50">
        <f t="shared" ca="1" si="5"/>
        <v>-0.14128276017136948</v>
      </c>
      <c r="Q50" s="2">
        <f t="shared" si="3"/>
        <v>24593.065000000002</v>
      </c>
    </row>
    <row r="51" spans="1:17" x14ac:dyDescent="0.2">
      <c r="A51" t="s">
        <v>43</v>
      </c>
      <c r="C51" s="17">
        <v>39683.489000000001</v>
      </c>
      <c r="E51">
        <f t="shared" si="0"/>
        <v>11333.776097581114</v>
      </c>
      <c r="F51">
        <f>ROUND(2*E51,0)/2</f>
        <v>11334</v>
      </c>
      <c r="G51">
        <f t="shared" si="2"/>
        <v>-0.20126564067322761</v>
      </c>
      <c r="I51" s="17">
        <f t="shared" si="4"/>
        <v>-0.20126564067322761</v>
      </c>
      <c r="O51">
        <f t="shared" ca="1" si="5"/>
        <v>-0.14123069964263557</v>
      </c>
      <c r="Q51" s="2">
        <f t="shared" si="3"/>
        <v>24664.989000000001</v>
      </c>
    </row>
    <row r="52" spans="1:17" x14ac:dyDescent="0.2">
      <c r="A52" t="s">
        <v>43</v>
      </c>
      <c r="C52" s="17">
        <v>39701.442999999999</v>
      </c>
      <c r="E52">
        <f t="shared" si="0"/>
        <v>11353.749422462864</v>
      </c>
      <c r="F52" s="11">
        <f>ROUND(2*E52,0)/2+0.5</f>
        <v>11354</v>
      </c>
      <c r="G52">
        <f t="shared" si="2"/>
        <v>-0.22524387543671764</v>
      </c>
      <c r="I52" s="17">
        <f t="shared" si="4"/>
        <v>-0.22524387543671764</v>
      </c>
      <c r="O52">
        <f t="shared" ca="1" si="5"/>
        <v>-0.14121768451045208</v>
      </c>
      <c r="Q52" s="2">
        <f t="shared" si="3"/>
        <v>24682.942999999999</v>
      </c>
    </row>
    <row r="53" spans="1:17" x14ac:dyDescent="0.2">
      <c r="A53" t="s">
        <v>43</v>
      </c>
      <c r="C53" s="17">
        <v>39827.349000000002</v>
      </c>
      <c r="E53">
        <f t="shared" ref="E53:E79" si="6">+(C53-C$7)/C$8</f>
        <v>11493.816340284067</v>
      </c>
      <c r="F53">
        <f t="shared" ref="F53:F80" si="7">ROUND(2*E53,0)/2</f>
        <v>11494</v>
      </c>
      <c r="G53">
        <f t="shared" ref="G53:G79" si="8">+C53-(C$7+F53*C$8)</f>
        <v>-0.16509151877835393</v>
      </c>
      <c r="I53" s="17">
        <f t="shared" si="4"/>
        <v>-0.16509151877835393</v>
      </c>
      <c r="O53">
        <f t="shared" ca="1" si="5"/>
        <v>-0.14112657858516769</v>
      </c>
      <c r="Q53" s="2">
        <f t="shared" ref="Q53:Q79" si="9">+C53-15018.5</f>
        <v>24808.849000000002</v>
      </c>
    </row>
    <row r="54" spans="1:17" x14ac:dyDescent="0.2">
      <c r="A54" t="s">
        <v>43</v>
      </c>
      <c r="C54" s="17">
        <v>40101.508999999998</v>
      </c>
      <c r="E54">
        <f t="shared" si="6"/>
        <v>11798.811703411002</v>
      </c>
      <c r="F54">
        <f t="shared" si="7"/>
        <v>11799</v>
      </c>
      <c r="G54">
        <f t="shared" si="8"/>
        <v>-0.16925959893706022</v>
      </c>
      <c r="I54" s="17">
        <f t="shared" si="4"/>
        <v>-0.16925959893706022</v>
      </c>
      <c r="O54">
        <f t="shared" ca="1" si="5"/>
        <v>-0.1409280978193696</v>
      </c>
      <c r="Q54" s="2">
        <f t="shared" si="9"/>
        <v>25083.008999999998</v>
      </c>
    </row>
    <row r="55" spans="1:17" x14ac:dyDescent="0.2">
      <c r="A55" t="s">
        <v>43</v>
      </c>
      <c r="C55" s="17">
        <v>40201.26</v>
      </c>
      <c r="E55">
        <f t="shared" si="6"/>
        <v>11909.781912293685</v>
      </c>
      <c r="F55">
        <f t="shared" si="7"/>
        <v>11910</v>
      </c>
      <c r="G55">
        <f t="shared" si="8"/>
        <v>-0.19603880187059985</v>
      </c>
      <c r="I55" s="17">
        <f t="shared" si="4"/>
        <v>-0.19603880187059985</v>
      </c>
      <c r="O55">
        <f t="shared" ref="O55:O79" ca="1" si="10">+C$11+C$12*$F55</f>
        <v>-0.14085586383575127</v>
      </c>
      <c r="Q55" s="2">
        <f t="shared" si="9"/>
        <v>25182.760000000002</v>
      </c>
    </row>
    <row r="56" spans="1:17" x14ac:dyDescent="0.2">
      <c r="A56" t="s">
        <v>35</v>
      </c>
      <c r="B56" s="6" t="s">
        <v>36</v>
      </c>
      <c r="C56" s="17">
        <v>49909.429700000001</v>
      </c>
      <c r="D56" s="17">
        <v>1.8E-3</v>
      </c>
      <c r="E56">
        <f t="shared" si="6"/>
        <v>22709.85027729749</v>
      </c>
      <c r="F56">
        <f t="shared" si="7"/>
        <v>22710</v>
      </c>
      <c r="G56">
        <f t="shared" si="8"/>
        <v>-0.13458557434933027</v>
      </c>
      <c r="J56">
        <f t="shared" ref="J56:J66" si="11">G56</f>
        <v>-0.13458557434933027</v>
      </c>
      <c r="O56">
        <f t="shared" ca="1" si="10"/>
        <v>-0.13382769245667084</v>
      </c>
      <c r="Q56" s="2">
        <f t="shared" si="9"/>
        <v>34890.929700000001</v>
      </c>
    </row>
    <row r="57" spans="1:17" x14ac:dyDescent="0.2">
      <c r="A57" t="s">
        <v>35</v>
      </c>
      <c r="B57" s="6" t="s">
        <v>37</v>
      </c>
      <c r="C57" s="17">
        <v>49912.5798</v>
      </c>
      <c r="D57" s="17">
        <v>1.4E-3</v>
      </c>
      <c r="E57">
        <f t="shared" si="6"/>
        <v>22713.354675799772</v>
      </c>
      <c r="F57">
        <f t="shared" si="7"/>
        <v>22713.5</v>
      </c>
      <c r="G57">
        <f t="shared" si="8"/>
        <v>-0.13063176543073496</v>
      </c>
      <c r="J57">
        <f t="shared" si="11"/>
        <v>-0.13063176543073496</v>
      </c>
      <c r="O57">
        <f t="shared" ca="1" si="10"/>
        <v>-0.13382541480853871</v>
      </c>
      <c r="Q57" s="2">
        <f t="shared" si="9"/>
        <v>34894.0798</v>
      </c>
    </row>
    <row r="58" spans="1:17" x14ac:dyDescent="0.2">
      <c r="A58" t="s">
        <v>35</v>
      </c>
      <c r="B58" s="6" t="s">
        <v>36</v>
      </c>
      <c r="C58" s="17">
        <v>49918.422400000003</v>
      </c>
      <c r="D58" s="17">
        <v>1E-3</v>
      </c>
      <c r="E58">
        <f t="shared" si="6"/>
        <v>22719.854405551036</v>
      </c>
      <c r="F58">
        <f t="shared" si="7"/>
        <v>22720</v>
      </c>
      <c r="G58">
        <f t="shared" si="8"/>
        <v>-0.13087469172751298</v>
      </c>
      <c r="J58">
        <f t="shared" si="11"/>
        <v>-0.13087469172751298</v>
      </c>
      <c r="O58">
        <f t="shared" ca="1" si="10"/>
        <v>-0.13382118489057909</v>
      </c>
      <c r="Q58" s="2">
        <f t="shared" si="9"/>
        <v>34899.922400000003</v>
      </c>
    </row>
    <row r="59" spans="1:17" x14ac:dyDescent="0.2">
      <c r="A59" t="s">
        <v>35</v>
      </c>
      <c r="B59" s="6" t="s">
        <v>36</v>
      </c>
      <c r="C59" s="17">
        <v>49928.309000000001</v>
      </c>
      <c r="D59" s="17">
        <v>8.0000000000000004E-4</v>
      </c>
      <c r="E59">
        <f t="shared" si="6"/>
        <v>22730.852972654517</v>
      </c>
      <c r="F59">
        <f t="shared" si="7"/>
        <v>22731</v>
      </c>
      <c r="G59">
        <f t="shared" si="8"/>
        <v>-0.13216272085264791</v>
      </c>
      <c r="J59">
        <f t="shared" si="11"/>
        <v>-0.13216272085264791</v>
      </c>
      <c r="O59">
        <f t="shared" ca="1" si="10"/>
        <v>-0.13381402656787816</v>
      </c>
      <c r="Q59" s="2">
        <f t="shared" si="9"/>
        <v>34909.809000000001</v>
      </c>
    </row>
    <row r="60" spans="1:17" x14ac:dyDescent="0.2">
      <c r="A60" t="s">
        <v>35</v>
      </c>
      <c r="B60" s="6" t="s">
        <v>37</v>
      </c>
      <c r="C60" s="17">
        <v>49931.460800000001</v>
      </c>
      <c r="D60" s="17">
        <v>5.0000000000000001E-4</v>
      </c>
      <c r="E60">
        <f t="shared" si="6"/>
        <v>22734.359262359445</v>
      </c>
      <c r="F60">
        <f t="shared" si="7"/>
        <v>22734.5</v>
      </c>
      <c r="G60">
        <f t="shared" si="8"/>
        <v>-0.12650891194061842</v>
      </c>
      <c r="J60">
        <f t="shared" si="11"/>
        <v>-0.12650891194061842</v>
      </c>
      <c r="O60">
        <f t="shared" ca="1" si="10"/>
        <v>-0.13381174891974607</v>
      </c>
      <c r="Q60" s="2">
        <f t="shared" si="9"/>
        <v>34912.960800000001</v>
      </c>
    </row>
    <row r="61" spans="1:17" x14ac:dyDescent="0.2">
      <c r="A61" t="s">
        <v>35</v>
      </c>
      <c r="B61" s="6" t="s">
        <v>36</v>
      </c>
      <c r="C61" s="17">
        <v>49935.498299999999</v>
      </c>
      <c r="D61" s="17">
        <v>6.9999999999999999E-4</v>
      </c>
      <c r="E61">
        <f t="shared" si="6"/>
        <v>22738.850868642727</v>
      </c>
      <c r="F61">
        <f t="shared" si="7"/>
        <v>22739</v>
      </c>
      <c r="G61">
        <f t="shared" si="8"/>
        <v>-0.13405401475756662</v>
      </c>
      <c r="J61">
        <f t="shared" si="11"/>
        <v>-0.13405401475756662</v>
      </c>
      <c r="O61">
        <f t="shared" ca="1" si="10"/>
        <v>-0.13380882051500478</v>
      </c>
      <c r="Q61" s="2">
        <f t="shared" si="9"/>
        <v>34916.998299999999</v>
      </c>
    </row>
    <row r="62" spans="1:17" x14ac:dyDescent="0.2">
      <c r="A62" t="s">
        <v>35</v>
      </c>
      <c r="B62" s="6" t="s">
        <v>36</v>
      </c>
      <c r="C62" s="17">
        <v>49997.520499999999</v>
      </c>
      <c r="D62" s="17" t="s">
        <v>16</v>
      </c>
      <c r="E62">
        <f t="shared" si="6"/>
        <v>22807.848838481255</v>
      </c>
      <c r="F62">
        <f t="shared" si="7"/>
        <v>22808</v>
      </c>
      <c r="G62">
        <f t="shared" si="8"/>
        <v>-0.13587892469513463</v>
      </c>
      <c r="J62">
        <f t="shared" si="11"/>
        <v>-0.13587892469513463</v>
      </c>
      <c r="O62">
        <f t="shared" ca="1" si="10"/>
        <v>-0.13376391830897177</v>
      </c>
      <c r="Q62" s="2">
        <f t="shared" si="9"/>
        <v>34979.020499999999</v>
      </c>
    </row>
    <row r="63" spans="1:17" x14ac:dyDescent="0.2">
      <c r="A63" t="s">
        <v>35</v>
      </c>
      <c r="B63" s="6" t="s">
        <v>37</v>
      </c>
      <c r="C63" s="17">
        <v>50224.497799999997</v>
      </c>
      <c r="D63" s="17">
        <v>4.0000000000000002E-4</v>
      </c>
      <c r="E63">
        <f t="shared" si="6"/>
        <v>23060.354762157473</v>
      </c>
      <c r="F63">
        <f t="shared" si="7"/>
        <v>23060.5</v>
      </c>
      <c r="G63">
        <f t="shared" si="8"/>
        <v>-0.1305541385881952</v>
      </c>
      <c r="J63">
        <f t="shared" si="11"/>
        <v>-0.1305541385881952</v>
      </c>
      <c r="O63">
        <f t="shared" ca="1" si="10"/>
        <v>-0.1335996022651553</v>
      </c>
      <c r="Q63" s="2">
        <f t="shared" si="9"/>
        <v>35205.997799999997</v>
      </c>
    </row>
    <row r="64" spans="1:17" x14ac:dyDescent="0.2">
      <c r="A64" t="s">
        <v>35</v>
      </c>
      <c r="B64" s="6" t="s">
        <v>36</v>
      </c>
      <c r="C64" s="17">
        <v>50370.566099999996</v>
      </c>
      <c r="D64" s="17">
        <v>2.9999999999999997E-4</v>
      </c>
      <c r="E64">
        <f t="shared" si="6"/>
        <v>23222.851677097049</v>
      </c>
      <c r="F64">
        <f t="shared" si="7"/>
        <v>23223</v>
      </c>
      <c r="G64">
        <f t="shared" si="8"/>
        <v>-0.13332729604735505</v>
      </c>
      <c r="J64">
        <f t="shared" si="11"/>
        <v>-0.13332729604735505</v>
      </c>
      <c r="O64">
        <f t="shared" ca="1" si="10"/>
        <v>-0.13349385431616451</v>
      </c>
      <c r="Q64" s="2">
        <f t="shared" si="9"/>
        <v>35352.066099999996</v>
      </c>
    </row>
    <row r="65" spans="1:17" x14ac:dyDescent="0.2">
      <c r="A65" t="s">
        <v>35</v>
      </c>
      <c r="B65" s="6" t="s">
        <v>36</v>
      </c>
      <c r="C65" s="17">
        <v>50717.541299999997</v>
      </c>
      <c r="D65" s="17">
        <v>5.9999999999999995E-4</v>
      </c>
      <c r="E65">
        <f t="shared" si="6"/>
        <v>23608.851921917747</v>
      </c>
      <c r="F65">
        <f t="shared" si="7"/>
        <v>23609</v>
      </c>
      <c r="G65">
        <f t="shared" si="8"/>
        <v>-0.13310722698952304</v>
      </c>
      <c r="J65">
        <f t="shared" si="11"/>
        <v>-0.13310722698952304</v>
      </c>
      <c r="O65">
        <f t="shared" ca="1" si="10"/>
        <v>-0.13324266226502329</v>
      </c>
      <c r="Q65" s="2">
        <f t="shared" si="9"/>
        <v>35699.041299999997</v>
      </c>
    </row>
    <row r="66" spans="1:17" x14ac:dyDescent="0.2">
      <c r="A66" t="s">
        <v>38</v>
      </c>
      <c r="B66" s="6" t="s">
        <v>37</v>
      </c>
      <c r="C66" s="17">
        <v>52198.48</v>
      </c>
      <c r="D66" s="30">
        <v>5.0000000000000001E-3</v>
      </c>
      <c r="E66">
        <f t="shared" si="6"/>
        <v>25256.354973330202</v>
      </c>
      <c r="F66">
        <f t="shared" si="7"/>
        <v>25256.5</v>
      </c>
      <c r="G66">
        <f t="shared" si="8"/>
        <v>-0.13036431564978557</v>
      </c>
      <c r="J66">
        <f t="shared" si="11"/>
        <v>-0.13036431564978557</v>
      </c>
      <c r="O66">
        <f t="shared" ca="1" si="10"/>
        <v>-0.13217054075140894</v>
      </c>
      <c r="Q66" s="2">
        <f t="shared" si="9"/>
        <v>37179.980000000003</v>
      </c>
    </row>
    <row r="67" spans="1:17" x14ac:dyDescent="0.2">
      <c r="A67" t="s">
        <v>39</v>
      </c>
      <c r="B67" s="6" t="s">
        <v>36</v>
      </c>
      <c r="C67" s="17">
        <v>52531.518900000003</v>
      </c>
      <c r="D67" s="30">
        <v>1.6999999999999999E-3</v>
      </c>
      <c r="E67">
        <f t="shared" si="6"/>
        <v>25626.851472603968</v>
      </c>
      <c r="F67">
        <f t="shared" si="7"/>
        <v>25627</v>
      </c>
      <c r="G67">
        <f t="shared" si="8"/>
        <v>-0.13351111465453869</v>
      </c>
      <c r="K67">
        <f>G67</f>
        <v>-0.13351111465453869</v>
      </c>
      <c r="O67">
        <f t="shared" ca="1" si="10"/>
        <v>-0.13192943542770993</v>
      </c>
      <c r="Q67" s="2">
        <f t="shared" si="9"/>
        <v>37513.018900000003</v>
      </c>
    </row>
    <row r="68" spans="1:17" x14ac:dyDescent="0.2">
      <c r="A68" s="32" t="s">
        <v>54</v>
      </c>
      <c r="B68" s="6"/>
      <c r="C68" s="17">
        <v>52953.103300000002</v>
      </c>
      <c r="D68" s="17">
        <v>2.0000000000000001E-4</v>
      </c>
      <c r="E68">
        <f t="shared" si="6"/>
        <v>26095.852374145597</v>
      </c>
      <c r="F68">
        <f t="shared" si="7"/>
        <v>26096</v>
      </c>
      <c r="G68">
        <f t="shared" si="8"/>
        <v>-0.13270071987062693</v>
      </c>
      <c r="K68">
        <f>G68</f>
        <v>-0.13270071987062693</v>
      </c>
      <c r="O68">
        <f t="shared" ca="1" si="10"/>
        <v>-0.13162423057800726</v>
      </c>
      <c r="Q68" s="2">
        <f t="shared" si="9"/>
        <v>37934.603300000002</v>
      </c>
    </row>
    <row r="69" spans="1:17" x14ac:dyDescent="0.2">
      <c r="A69" s="14" t="s">
        <v>41</v>
      </c>
      <c r="B69" s="35" t="s">
        <v>36</v>
      </c>
      <c r="C69" s="32">
        <v>52986.364000000001</v>
      </c>
      <c r="D69" s="32">
        <v>1.1999999999999999E-3</v>
      </c>
      <c r="E69">
        <f t="shared" si="6"/>
        <v>26132.853976401053</v>
      </c>
      <c r="F69">
        <f t="shared" si="7"/>
        <v>26133</v>
      </c>
      <c r="G69">
        <f t="shared" si="8"/>
        <v>-0.13126045418175636</v>
      </c>
      <c r="J69">
        <f>G69</f>
        <v>-0.13126045418175636</v>
      </c>
      <c r="O69">
        <f t="shared" ca="1" si="10"/>
        <v>-0.13160015258346783</v>
      </c>
      <c r="Q69" s="2">
        <f t="shared" si="9"/>
        <v>37967.864000000001</v>
      </c>
    </row>
    <row r="70" spans="1:17" x14ac:dyDescent="0.2">
      <c r="A70" s="14" t="s">
        <v>47</v>
      </c>
      <c r="B70" s="35" t="s">
        <v>37</v>
      </c>
      <c r="C70" s="32">
        <v>53683.469100000002</v>
      </c>
      <c r="D70" s="32">
        <v>2.5999999999999999E-3</v>
      </c>
      <c r="E70">
        <f t="shared" si="6"/>
        <v>26908.363981916595</v>
      </c>
      <c r="F70">
        <f t="shared" si="7"/>
        <v>26908.5</v>
      </c>
      <c r="G70">
        <f t="shared" si="8"/>
        <v>-0.12226650715456344</v>
      </c>
      <c r="J70">
        <f>G70</f>
        <v>-0.12226650715456344</v>
      </c>
      <c r="O70">
        <f t="shared" ca="1" si="10"/>
        <v>-0.1310954908330533</v>
      </c>
      <c r="Q70" s="2">
        <f t="shared" si="9"/>
        <v>38664.969100000002</v>
      </c>
    </row>
    <row r="71" spans="1:17" x14ac:dyDescent="0.2">
      <c r="A71" s="14" t="s">
        <v>55</v>
      </c>
      <c r="B71" s="35" t="s">
        <v>37</v>
      </c>
      <c r="C71" s="32">
        <v>54751.341220000002</v>
      </c>
      <c r="D71" s="32">
        <v>5.9999999999999995E-4</v>
      </c>
      <c r="E71">
        <f t="shared" si="6"/>
        <v>28096.341969268993</v>
      </c>
      <c r="F71">
        <f t="shared" si="7"/>
        <v>28096.5</v>
      </c>
      <c r="G71">
        <f t="shared" si="8"/>
        <v>-0.14205365211819299</v>
      </c>
      <c r="K71">
        <f>G71</f>
        <v>-0.14205365211819299</v>
      </c>
      <c r="O71">
        <f t="shared" ca="1" si="10"/>
        <v>-0.13032239198135445</v>
      </c>
      <c r="Q71" s="2">
        <f t="shared" si="9"/>
        <v>39732.841220000002</v>
      </c>
    </row>
    <row r="72" spans="1:17" s="65" customFormat="1" ht="12" customHeight="1" x14ac:dyDescent="0.2">
      <c r="A72" s="36" t="s">
        <v>56</v>
      </c>
      <c r="B72" s="37" t="s">
        <v>37</v>
      </c>
      <c r="C72" s="36">
        <v>55121.7019</v>
      </c>
      <c r="D72" s="36">
        <v>1E-3</v>
      </c>
      <c r="E72" s="65">
        <f t="shared" si="6"/>
        <v>28508.357909174669</v>
      </c>
      <c r="F72" s="65">
        <f t="shared" si="7"/>
        <v>28508.5</v>
      </c>
      <c r="G72" s="65">
        <f t="shared" si="8"/>
        <v>-0.12772528825735208</v>
      </c>
      <c r="I72" s="66"/>
      <c r="K72" s="65">
        <f>G72</f>
        <v>-0.12772528825735208</v>
      </c>
      <c r="O72" s="65">
        <f t="shared" ca="1" si="10"/>
        <v>-0.13005428025837473</v>
      </c>
      <c r="Q72" s="67">
        <f t="shared" si="9"/>
        <v>40103.2019</v>
      </c>
    </row>
    <row r="73" spans="1:17" s="65" customFormat="1" ht="12" customHeight="1" x14ac:dyDescent="0.2">
      <c r="A73" s="36" t="s">
        <v>59</v>
      </c>
      <c r="B73" s="37" t="s">
        <v>36</v>
      </c>
      <c r="C73" s="36">
        <v>55474.509400000003</v>
      </c>
      <c r="D73" s="36">
        <v>2.0000000000000001E-4</v>
      </c>
      <c r="E73" s="65">
        <f t="shared" si="6"/>
        <v>28900.84642528354</v>
      </c>
      <c r="F73" s="65">
        <f t="shared" si="7"/>
        <v>28901</v>
      </c>
      <c r="G73" s="65">
        <f t="shared" si="8"/>
        <v>-0.13804814549803268</v>
      </c>
      <c r="I73" s="66"/>
      <c r="J73" s="65">
        <f t="shared" ref="J73:J78" si="12">G73</f>
        <v>-0.13804814549803268</v>
      </c>
      <c r="O73" s="65">
        <f t="shared" ca="1" si="10"/>
        <v>-0.12979885828927387</v>
      </c>
      <c r="Q73" s="67">
        <f t="shared" si="9"/>
        <v>40456.009400000003</v>
      </c>
    </row>
    <row r="74" spans="1:17" s="65" customFormat="1" ht="12" customHeight="1" x14ac:dyDescent="0.2">
      <c r="A74" s="39" t="s">
        <v>63</v>
      </c>
      <c r="B74" s="39"/>
      <c r="C74" s="40">
        <v>55482.599900000001</v>
      </c>
      <c r="D74" s="40">
        <v>1.0699999999999999E-2</v>
      </c>
      <c r="E74" s="38">
        <f t="shared" si="6"/>
        <v>28909.846881168341</v>
      </c>
      <c r="F74" s="65">
        <f t="shared" si="7"/>
        <v>28910</v>
      </c>
      <c r="G74" s="65">
        <f t="shared" si="8"/>
        <v>-0.13763835113786627</v>
      </c>
      <c r="I74" s="66"/>
      <c r="J74" s="65">
        <f t="shared" si="12"/>
        <v>-0.13763835113786627</v>
      </c>
      <c r="O74" s="65">
        <f t="shared" ca="1" si="10"/>
        <v>-0.12979300147979131</v>
      </c>
      <c r="Q74" s="67">
        <f t="shared" si="9"/>
        <v>40464.099900000001</v>
      </c>
    </row>
    <row r="75" spans="1:17" s="65" customFormat="1" ht="12" customHeight="1" x14ac:dyDescent="0.2">
      <c r="A75" s="36" t="s">
        <v>59</v>
      </c>
      <c r="B75" s="37" t="s">
        <v>36</v>
      </c>
      <c r="C75" s="36">
        <v>55644.4018</v>
      </c>
      <c r="D75" s="36">
        <v>4.3E-3</v>
      </c>
      <c r="E75" s="38">
        <f t="shared" si="6"/>
        <v>29089.846987840097</v>
      </c>
      <c r="F75" s="65">
        <f t="shared" si="7"/>
        <v>29090</v>
      </c>
      <c r="G75" s="65">
        <f t="shared" si="8"/>
        <v>-0.13754246402095305</v>
      </c>
      <c r="I75" s="66"/>
      <c r="J75" s="65">
        <f t="shared" si="12"/>
        <v>-0.13754246402095305</v>
      </c>
      <c r="O75" s="65">
        <f t="shared" ca="1" si="10"/>
        <v>-0.12967586529013997</v>
      </c>
      <c r="Q75" s="67">
        <f t="shared" si="9"/>
        <v>40625.9018</v>
      </c>
    </row>
    <row r="76" spans="1:17" s="65" customFormat="1" ht="12" customHeight="1" x14ac:dyDescent="0.2">
      <c r="A76" s="36" t="s">
        <v>59</v>
      </c>
      <c r="B76" s="37" t="s">
        <v>37</v>
      </c>
      <c r="C76" s="36">
        <v>55692.499499999998</v>
      </c>
      <c r="D76" s="36">
        <v>4.1000000000000003E-3</v>
      </c>
      <c r="E76" s="38">
        <f t="shared" si="6"/>
        <v>29143.354339303001</v>
      </c>
      <c r="F76" s="65">
        <f t="shared" si="7"/>
        <v>29143.5</v>
      </c>
      <c r="G76" s="65">
        <f t="shared" si="8"/>
        <v>-0.13093424201360904</v>
      </c>
      <c r="I76" s="66"/>
      <c r="J76" s="65">
        <f t="shared" si="12"/>
        <v>-0.13093424201360904</v>
      </c>
      <c r="O76" s="65">
        <f t="shared" ca="1" si="10"/>
        <v>-0.12964104981154917</v>
      </c>
      <c r="Q76" s="67">
        <f t="shared" si="9"/>
        <v>40673.999499999998</v>
      </c>
    </row>
    <row r="77" spans="1:17" s="65" customFormat="1" ht="12" customHeight="1" x14ac:dyDescent="0.2">
      <c r="A77" s="36" t="s">
        <v>59</v>
      </c>
      <c r="B77" s="37" t="s">
        <v>36</v>
      </c>
      <c r="C77" s="36">
        <v>55706.426299999999</v>
      </c>
      <c r="D77" s="36">
        <v>8.9999999999999998E-4</v>
      </c>
      <c r="E77" s="38">
        <f t="shared" si="6"/>
        <v>29158.84751636456</v>
      </c>
      <c r="F77" s="65">
        <f t="shared" si="7"/>
        <v>29159</v>
      </c>
      <c r="G77" s="65">
        <f t="shared" si="8"/>
        <v>-0.13706737395114033</v>
      </c>
      <c r="I77" s="66"/>
      <c r="J77" s="65">
        <f t="shared" si="12"/>
        <v>-0.13706737395114033</v>
      </c>
      <c r="O77" s="65">
        <f t="shared" ca="1" si="10"/>
        <v>-0.12963096308410696</v>
      </c>
      <c r="Q77" s="67">
        <f t="shared" si="9"/>
        <v>40687.926299999999</v>
      </c>
    </row>
    <row r="78" spans="1:17" s="65" customFormat="1" ht="12" customHeight="1" x14ac:dyDescent="0.2">
      <c r="A78" s="14" t="s">
        <v>61</v>
      </c>
      <c r="B78" s="35" t="s">
        <v>37</v>
      </c>
      <c r="C78" s="32">
        <v>56181.504099999998</v>
      </c>
      <c r="D78" s="32">
        <v>2E-3</v>
      </c>
      <c r="E78" s="38">
        <f t="shared" si="6"/>
        <v>29687.35833531899</v>
      </c>
      <c r="F78" s="65">
        <f t="shared" si="7"/>
        <v>29687.5</v>
      </c>
      <c r="G78" s="65">
        <f t="shared" si="8"/>
        <v>-0.12734222759172553</v>
      </c>
      <c r="I78" s="66"/>
      <c r="J78" s="65">
        <f t="shared" si="12"/>
        <v>-0.12734222759172553</v>
      </c>
      <c r="O78" s="65">
        <f t="shared" ca="1" si="10"/>
        <v>-0.12928703821615845</v>
      </c>
      <c r="Q78" s="67">
        <f t="shared" si="9"/>
        <v>41163.004099999998</v>
      </c>
    </row>
    <row r="79" spans="1:17" s="65" customFormat="1" ht="12" customHeight="1" x14ac:dyDescent="0.2">
      <c r="A79" s="14" t="s">
        <v>60</v>
      </c>
      <c r="B79" s="35" t="s">
        <v>36</v>
      </c>
      <c r="C79" s="32">
        <v>56219.698299999996</v>
      </c>
      <c r="D79" s="32">
        <v>4.0000000000000002E-4</v>
      </c>
      <c r="E79" s="38">
        <f t="shared" si="6"/>
        <v>29729.84831889917</v>
      </c>
      <c r="F79" s="65">
        <f t="shared" si="7"/>
        <v>29730</v>
      </c>
      <c r="G79" s="65">
        <f t="shared" si="8"/>
        <v>-0.13634597646159818</v>
      </c>
      <c r="I79" s="66"/>
      <c r="K79" s="65">
        <f>G79</f>
        <v>-0.13634597646159818</v>
      </c>
      <c r="O79" s="65">
        <f t="shared" ca="1" si="10"/>
        <v>-0.12925938106026855</v>
      </c>
      <c r="Q79" s="67">
        <f t="shared" si="9"/>
        <v>41201.198299999996</v>
      </c>
    </row>
    <row r="80" spans="1:17" s="65" customFormat="1" ht="12" customHeight="1" x14ac:dyDescent="0.2">
      <c r="A80" s="60" t="s">
        <v>0</v>
      </c>
      <c r="B80" s="61" t="s">
        <v>36</v>
      </c>
      <c r="C80" s="62">
        <v>57327.601000000002</v>
      </c>
      <c r="D80" s="62" t="s">
        <v>1</v>
      </c>
      <c r="E80" s="38">
        <f>+(C80-C$7)/C$8</f>
        <v>30962.359211428415</v>
      </c>
      <c r="F80" s="65">
        <f t="shared" si="7"/>
        <v>30962.5</v>
      </c>
      <c r="G80" s="65">
        <f>+C80-(C$7+F80*C$8)</f>
        <v>-0.126554693786602</v>
      </c>
      <c r="I80" s="66"/>
      <c r="K80" s="65">
        <f>G80</f>
        <v>-0.126554693786602</v>
      </c>
      <c r="O80" s="65">
        <f ca="1">+C$11+C$12*$F80</f>
        <v>-0.12845732353946143</v>
      </c>
      <c r="Q80" s="67">
        <f>+C80-15018.5</f>
        <v>42309.101000000002</v>
      </c>
    </row>
    <row r="81" spans="1:17" s="65" customFormat="1" ht="12" customHeight="1" x14ac:dyDescent="0.2">
      <c r="A81" s="63" t="s">
        <v>290</v>
      </c>
      <c r="B81" s="64" t="s">
        <v>36</v>
      </c>
      <c r="C81" s="68">
        <v>59873.753799999999</v>
      </c>
      <c r="D81" s="69">
        <v>4.5999999999999999E-3</v>
      </c>
      <c r="E81" s="38">
        <f>+(C81-C$7)/C$8</f>
        <v>33794.883276983826</v>
      </c>
      <c r="F81" s="65">
        <f t="shared" ref="F81" si="13">ROUND(2*E81,0)/2</f>
        <v>33795</v>
      </c>
      <c r="G81" s="65">
        <f>+C81-(C$7+F81*C$8)</f>
        <v>-0.10492219221487176</v>
      </c>
      <c r="I81" s="66"/>
      <c r="K81" s="65">
        <f>G81</f>
        <v>-0.10492219221487176</v>
      </c>
      <c r="O81" s="65">
        <f ca="1">+C$11+C$12*$F81</f>
        <v>-0.12661405544397578</v>
      </c>
      <c r="Q81" s="67">
        <f>+C81-15018.5</f>
        <v>44855.253799999999</v>
      </c>
    </row>
    <row r="82" spans="1:17" s="65" customFormat="1" ht="12" customHeight="1" x14ac:dyDescent="0.2">
      <c r="C82" s="66"/>
      <c r="D82" s="66"/>
      <c r="I82" s="66"/>
    </row>
    <row r="83" spans="1:17" s="65" customFormat="1" ht="12" customHeight="1" x14ac:dyDescent="0.2">
      <c r="C83" s="66"/>
      <c r="D83" s="66"/>
      <c r="I83" s="66"/>
    </row>
    <row r="84" spans="1:17" s="65" customFormat="1" ht="12" customHeight="1" x14ac:dyDescent="0.2">
      <c r="C84" s="66"/>
      <c r="D84" s="66"/>
      <c r="I84" s="66"/>
    </row>
    <row r="85" spans="1:17" s="65" customFormat="1" ht="12" customHeight="1" x14ac:dyDescent="0.2">
      <c r="C85" s="66"/>
      <c r="D85" s="66"/>
      <c r="I85" s="66"/>
    </row>
    <row r="86" spans="1:17" s="65" customFormat="1" ht="12" customHeight="1" x14ac:dyDescent="0.2">
      <c r="C86" s="66"/>
      <c r="D86" s="66"/>
      <c r="I86" s="66"/>
    </row>
    <row r="87" spans="1:17" s="65" customFormat="1" ht="12" customHeight="1" x14ac:dyDescent="0.2">
      <c r="C87" s="66"/>
      <c r="D87" s="66"/>
      <c r="I87" s="66"/>
    </row>
    <row r="88" spans="1:17" s="65" customFormat="1" ht="12" customHeight="1" x14ac:dyDescent="0.2">
      <c r="C88" s="66"/>
      <c r="D88" s="66"/>
      <c r="I88" s="66"/>
    </row>
    <row r="89" spans="1:17" s="65" customFormat="1" ht="12" customHeight="1" x14ac:dyDescent="0.2">
      <c r="C89" s="66"/>
      <c r="D89" s="66"/>
      <c r="I89" s="66"/>
    </row>
    <row r="90" spans="1:17" s="65" customFormat="1" ht="12" customHeight="1" x14ac:dyDescent="0.2">
      <c r="C90" s="66"/>
      <c r="D90" s="66"/>
      <c r="I90" s="66"/>
    </row>
    <row r="91" spans="1:17" s="65" customFormat="1" ht="12" customHeight="1" x14ac:dyDescent="0.2">
      <c r="C91" s="66"/>
      <c r="D91" s="66"/>
      <c r="I91" s="66"/>
    </row>
    <row r="92" spans="1:17" s="65" customFormat="1" ht="12" customHeight="1" x14ac:dyDescent="0.2">
      <c r="C92" s="66"/>
      <c r="D92" s="66"/>
      <c r="I92" s="66"/>
    </row>
  </sheetData>
  <phoneticPr fontId="8" type="noConversion"/>
  <hyperlinks>
    <hyperlink ref="H2003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69"/>
  <sheetViews>
    <sheetView workbookViewId="0">
      <selection activeCell="C11" sqref="C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8" width="8.5703125" customWidth="1"/>
    <col min="9" max="9" width="10.5703125" customWidth="1"/>
    <col min="10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 x14ac:dyDescent="0.3">
      <c r="A1" s="1" t="s">
        <v>32</v>
      </c>
    </row>
    <row r="2" spans="1:4" x14ac:dyDescent="0.2">
      <c r="A2" t="s">
        <v>27</v>
      </c>
      <c r="B2" t="s">
        <v>34</v>
      </c>
    </row>
    <row r="3" spans="1:4" ht="13.5" thickBot="1" x14ac:dyDescent="0.25">
      <c r="A3" t="s">
        <v>33</v>
      </c>
    </row>
    <row r="4" spans="1:4" ht="14.25" thickTop="1" thickBot="1" x14ac:dyDescent="0.25">
      <c r="A4" s="8" t="s">
        <v>2</v>
      </c>
      <c r="C4" s="3">
        <v>29495.57</v>
      </c>
      <c r="D4" s="4">
        <v>0.89888000000000001</v>
      </c>
    </row>
    <row r="6" spans="1:4" x14ac:dyDescent="0.2">
      <c r="A6" s="8" t="s">
        <v>3</v>
      </c>
    </row>
    <row r="7" spans="1:4" x14ac:dyDescent="0.2">
      <c r="A7" t="s">
        <v>4</v>
      </c>
      <c r="C7">
        <f>+C4</f>
        <v>29495.57</v>
      </c>
    </row>
    <row r="8" spans="1:4" x14ac:dyDescent="0.2">
      <c r="A8" t="s">
        <v>5</v>
      </c>
      <c r="C8">
        <f>+D4</f>
        <v>0.89888000000000001</v>
      </c>
    </row>
    <row r="10" spans="1:4" ht="13.5" thickBot="1" x14ac:dyDescent="0.25">
      <c r="C10" s="7" t="s">
        <v>22</v>
      </c>
      <c r="D10" s="7" t="s">
        <v>23</v>
      </c>
    </row>
    <row r="11" spans="1:4" x14ac:dyDescent="0.2">
      <c r="A11" t="s">
        <v>18</v>
      </c>
      <c r="C11">
        <f>INTERCEPT(G56:G932,F56:F932)</f>
        <v>-0.13210870498168042</v>
      </c>
      <c r="D11" s="6"/>
    </row>
    <row r="12" spans="1:4" x14ac:dyDescent="0.2">
      <c r="A12" t="s">
        <v>19</v>
      </c>
      <c r="C12">
        <f>SLOPE(G56:G932,F56:F932)</f>
        <v>1.8911738192438809E-5</v>
      </c>
      <c r="D12" s="6"/>
    </row>
    <row r="13" spans="1:4" x14ac:dyDescent="0.2">
      <c r="A13" t="s">
        <v>21</v>
      </c>
      <c r="C13" s="6" t="s">
        <v>16</v>
      </c>
      <c r="D13" s="6"/>
    </row>
    <row r="14" spans="1:4" x14ac:dyDescent="0.2">
      <c r="A14" t="s">
        <v>26</v>
      </c>
    </row>
    <row r="15" spans="1:4" x14ac:dyDescent="0.2">
      <c r="A15" s="5" t="s">
        <v>20</v>
      </c>
      <c r="C15">
        <v>52953.103300000002</v>
      </c>
    </row>
    <row r="16" spans="1:4" x14ac:dyDescent="0.2">
      <c r="A16" s="8" t="s">
        <v>6</v>
      </c>
      <c r="C16">
        <f>+C8+C12</f>
        <v>0.89889891173819247</v>
      </c>
    </row>
    <row r="17" spans="1:17" ht="13.5" thickBot="1" x14ac:dyDescent="0.25"/>
    <row r="18" spans="1:17" x14ac:dyDescent="0.2">
      <c r="A18" s="8" t="s">
        <v>7</v>
      </c>
      <c r="C18" s="3">
        <f>+C15</f>
        <v>52953.103300000002</v>
      </c>
      <c r="D18" s="4">
        <f>+C16</f>
        <v>0.89889891173819247</v>
      </c>
    </row>
    <row r="19" spans="1:17" ht="13.5" thickTop="1" x14ac:dyDescent="0.2"/>
    <row r="20" spans="1:17" ht="13.5" thickBot="1" x14ac:dyDescent="0.25">
      <c r="A20" s="7" t="s">
        <v>8</v>
      </c>
      <c r="B20" s="7" t="s">
        <v>9</v>
      </c>
      <c r="C20" s="7" t="s">
        <v>10</v>
      </c>
      <c r="D20" s="7" t="s">
        <v>15</v>
      </c>
      <c r="E20" s="7" t="s">
        <v>11</v>
      </c>
      <c r="F20" s="7" t="s">
        <v>12</v>
      </c>
      <c r="G20" s="7" t="s">
        <v>13</v>
      </c>
      <c r="H20" s="10" t="s">
        <v>14</v>
      </c>
      <c r="I20" s="10" t="s">
        <v>45</v>
      </c>
      <c r="J20" s="10" t="s">
        <v>31</v>
      </c>
      <c r="K20" s="10" t="s">
        <v>44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17</v>
      </c>
    </row>
    <row r="21" spans="1:17" x14ac:dyDescent="0.2">
      <c r="A21" t="s">
        <v>42</v>
      </c>
      <c r="C21" s="12">
        <v>29495.471000000001</v>
      </c>
      <c r="D21" s="15"/>
      <c r="E21">
        <f t="shared" ref="E21:E55" si="0">+(C21-C$7)/C$8</f>
        <v>-0.11013705944991665</v>
      </c>
      <c r="F21">
        <f t="shared" ref="F21:F52" si="1">ROUND(2*E21,0)/2</f>
        <v>0</v>
      </c>
      <c r="G21">
        <f t="shared" ref="G21:G52" si="2">+C21-(C$7+F21*C$8)</f>
        <v>-9.8999999998341082E-2</v>
      </c>
      <c r="I21">
        <f>G21</f>
        <v>-9.8999999998341082E-2</v>
      </c>
      <c r="Q21" s="2">
        <f t="shared" ref="Q21:Q52" si="3">+C21-15018.5</f>
        <v>14476.971000000001</v>
      </c>
    </row>
    <row r="22" spans="1:17" x14ac:dyDescent="0.2">
      <c r="A22" t="s">
        <v>14</v>
      </c>
      <c r="B22" s="6"/>
      <c r="C22">
        <v>29495.57</v>
      </c>
      <c r="D22" s="6" t="s">
        <v>16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Q22" s="2">
        <f t="shared" si="3"/>
        <v>14477.07</v>
      </c>
    </row>
    <row r="23" spans="1:17" x14ac:dyDescent="0.2">
      <c r="A23" t="s">
        <v>42</v>
      </c>
      <c r="C23" s="12">
        <v>33928.49</v>
      </c>
      <c r="D23" s="15"/>
      <c r="E23">
        <f t="shared" si="0"/>
        <v>4931.603773584904</v>
      </c>
      <c r="F23">
        <f t="shared" si="1"/>
        <v>4931.5</v>
      </c>
      <c r="G23">
        <f t="shared" si="2"/>
        <v>9.3280000000959262E-2</v>
      </c>
      <c r="I23">
        <f t="shared" ref="I23:I55" si="4">G23</f>
        <v>9.3280000000959262E-2</v>
      </c>
      <c r="O23">
        <f t="shared" ref="O23:O69" si="5">+C$11+C$12*$F23</f>
        <v>-3.8845468085668439E-2</v>
      </c>
      <c r="Q23" s="2">
        <f t="shared" si="3"/>
        <v>18909.989999999998</v>
      </c>
    </row>
    <row r="24" spans="1:17" x14ac:dyDescent="0.2">
      <c r="A24" t="s">
        <v>42</v>
      </c>
      <c r="C24" s="12">
        <v>34455.565999999999</v>
      </c>
      <c r="D24" s="15"/>
      <c r="E24">
        <f t="shared" si="0"/>
        <v>5517.973478106087</v>
      </c>
      <c r="F24">
        <f t="shared" si="1"/>
        <v>5518</v>
      </c>
      <c r="G24">
        <f t="shared" si="2"/>
        <v>-2.3840000001655426E-2</v>
      </c>
      <c r="I24">
        <f t="shared" si="4"/>
        <v>-2.3840000001655426E-2</v>
      </c>
      <c r="O24">
        <f t="shared" si="5"/>
        <v>-2.775373363580308E-2</v>
      </c>
      <c r="Q24" s="2">
        <f t="shared" si="3"/>
        <v>19437.065999999999</v>
      </c>
    </row>
    <row r="25" spans="1:17" x14ac:dyDescent="0.2">
      <c r="A25" t="s">
        <v>42</v>
      </c>
      <c r="C25" s="12">
        <v>36480.349000000002</v>
      </c>
      <c r="D25" s="15"/>
      <c r="E25">
        <f t="shared" si="0"/>
        <v>7770.535555357781</v>
      </c>
      <c r="F25">
        <f t="shared" si="1"/>
        <v>7770.5</v>
      </c>
      <c r="G25">
        <f t="shared" si="2"/>
        <v>3.1960000000253785E-2</v>
      </c>
      <c r="I25">
        <f t="shared" si="4"/>
        <v>3.1960000000253785E-2</v>
      </c>
      <c r="O25">
        <f t="shared" si="5"/>
        <v>1.484495664266533E-2</v>
      </c>
      <c r="Q25" s="2">
        <f t="shared" si="3"/>
        <v>21461.849000000002</v>
      </c>
    </row>
    <row r="26" spans="1:17" x14ac:dyDescent="0.2">
      <c r="A26" t="s">
        <v>42</v>
      </c>
      <c r="C26" s="12">
        <v>36754.506000000001</v>
      </c>
      <c r="D26" s="15"/>
      <c r="E26">
        <f t="shared" si="0"/>
        <v>8075.5339978640104</v>
      </c>
      <c r="F26">
        <f t="shared" si="1"/>
        <v>8075.5</v>
      </c>
      <c r="G26">
        <f t="shared" si="2"/>
        <v>3.0559999999240972E-2</v>
      </c>
      <c r="I26">
        <f t="shared" si="4"/>
        <v>3.0559999999240972E-2</v>
      </c>
      <c r="O26">
        <f t="shared" si="5"/>
        <v>2.0613036791359174E-2</v>
      </c>
      <c r="Q26" s="2">
        <f t="shared" si="3"/>
        <v>21736.006000000001</v>
      </c>
    </row>
    <row r="27" spans="1:17" x14ac:dyDescent="0.2">
      <c r="A27" t="s">
        <v>42</v>
      </c>
      <c r="C27" s="12">
        <v>36812.478000000003</v>
      </c>
      <c r="D27" s="15"/>
      <c r="E27">
        <f t="shared" si="0"/>
        <v>8140.0275898896434</v>
      </c>
      <c r="F27">
        <f t="shared" si="1"/>
        <v>8140</v>
      </c>
      <c r="G27">
        <f t="shared" si="2"/>
        <v>2.4799999999231659E-2</v>
      </c>
      <c r="I27">
        <f t="shared" si="4"/>
        <v>2.4799999999231659E-2</v>
      </c>
      <c r="O27">
        <f t="shared" si="5"/>
        <v>2.1832843904771471E-2</v>
      </c>
      <c r="Q27" s="2">
        <f t="shared" si="3"/>
        <v>21793.978000000003</v>
      </c>
    </row>
    <row r="28" spans="1:17" x14ac:dyDescent="0.2">
      <c r="A28" t="s">
        <v>42</v>
      </c>
      <c r="C28" s="12">
        <v>36839.406000000003</v>
      </c>
      <c r="D28" s="16"/>
      <c r="E28">
        <f t="shared" si="0"/>
        <v>8169.9848700605226</v>
      </c>
      <c r="F28">
        <f t="shared" si="1"/>
        <v>8170</v>
      </c>
      <c r="G28">
        <f t="shared" si="2"/>
        <v>-1.359999999840511E-2</v>
      </c>
      <c r="I28">
        <f t="shared" si="4"/>
        <v>-1.359999999840511E-2</v>
      </c>
      <c r="O28">
        <f t="shared" si="5"/>
        <v>2.2400196050544635E-2</v>
      </c>
      <c r="Q28" s="2">
        <f t="shared" si="3"/>
        <v>21820.906000000003</v>
      </c>
    </row>
    <row r="29" spans="1:17" x14ac:dyDescent="0.2">
      <c r="A29" t="s">
        <v>42</v>
      </c>
      <c r="C29" s="12">
        <v>38237.599999999999</v>
      </c>
      <c r="D29" s="15"/>
      <c r="E29">
        <f t="shared" si="0"/>
        <v>9725.4694731221061</v>
      </c>
      <c r="F29">
        <f t="shared" si="1"/>
        <v>9725.5</v>
      </c>
      <c r="G29">
        <f t="shared" si="2"/>
        <v>-2.7439999998023268E-2</v>
      </c>
      <c r="I29">
        <f t="shared" si="4"/>
        <v>-2.7439999998023268E-2</v>
      </c>
      <c r="O29">
        <f t="shared" si="5"/>
        <v>5.1817404808883222E-2</v>
      </c>
      <c r="Q29" s="2">
        <f t="shared" si="3"/>
        <v>23219.1</v>
      </c>
    </row>
    <row r="30" spans="1:17" x14ac:dyDescent="0.2">
      <c r="A30" t="s">
        <v>42</v>
      </c>
      <c r="C30" s="12">
        <v>38238.54</v>
      </c>
      <c r="D30" s="15"/>
      <c r="E30">
        <f t="shared" si="0"/>
        <v>9726.5152189391247</v>
      </c>
      <c r="F30">
        <f t="shared" si="1"/>
        <v>9726.5</v>
      </c>
      <c r="G30">
        <f t="shared" si="2"/>
        <v>1.3680000003660098E-2</v>
      </c>
      <c r="I30">
        <f t="shared" si="4"/>
        <v>1.3680000003660098E-2</v>
      </c>
      <c r="O30">
        <f t="shared" si="5"/>
        <v>5.1836316547075656E-2</v>
      </c>
      <c r="Q30" s="2">
        <f t="shared" si="3"/>
        <v>23220.04</v>
      </c>
    </row>
    <row r="31" spans="1:17" x14ac:dyDescent="0.2">
      <c r="A31" t="s">
        <v>42</v>
      </c>
      <c r="C31" s="12">
        <v>38239.42</v>
      </c>
      <c r="D31" s="15"/>
      <c r="E31">
        <f t="shared" si="0"/>
        <v>9727.4942150231382</v>
      </c>
      <c r="F31">
        <f t="shared" si="1"/>
        <v>9727.5</v>
      </c>
      <c r="G31">
        <f t="shared" si="2"/>
        <v>-5.1999999996041879E-3</v>
      </c>
      <c r="I31">
        <f t="shared" si="4"/>
        <v>-5.1999999996041879E-3</v>
      </c>
      <c r="O31">
        <f t="shared" si="5"/>
        <v>5.185522828526809E-2</v>
      </c>
      <c r="Q31" s="2">
        <f t="shared" si="3"/>
        <v>23220.92</v>
      </c>
    </row>
    <row r="32" spans="1:17" x14ac:dyDescent="0.2">
      <c r="A32" t="s">
        <v>43</v>
      </c>
      <c r="C32" s="12">
        <v>38242.519999999997</v>
      </c>
      <c r="D32" s="15"/>
      <c r="E32">
        <f t="shared" si="0"/>
        <v>9730.9429512281913</v>
      </c>
      <c r="F32">
        <f t="shared" si="1"/>
        <v>9731</v>
      </c>
      <c r="G32">
        <f t="shared" si="2"/>
        <v>-5.1280000006954651E-2</v>
      </c>
      <c r="I32">
        <f t="shared" si="4"/>
        <v>-5.1280000006954651E-2</v>
      </c>
      <c r="O32">
        <f t="shared" si="5"/>
        <v>5.1921419368941624E-2</v>
      </c>
      <c r="Q32" s="2">
        <f t="shared" si="3"/>
        <v>23224.019999999997</v>
      </c>
    </row>
    <row r="33" spans="1:17" x14ac:dyDescent="0.2">
      <c r="A33" t="s">
        <v>43</v>
      </c>
      <c r="C33" s="12">
        <v>38243.466999999997</v>
      </c>
      <c r="D33" s="6"/>
      <c r="E33">
        <f t="shared" si="0"/>
        <v>9731.9964845140585</v>
      </c>
      <c r="F33">
        <f t="shared" si="1"/>
        <v>9732</v>
      </c>
      <c r="G33">
        <f t="shared" si="2"/>
        <v>-3.1600000002072193E-3</v>
      </c>
      <c r="I33">
        <f t="shared" si="4"/>
        <v>-3.1600000002072193E-3</v>
      </c>
      <c r="O33">
        <f t="shared" si="5"/>
        <v>5.1940331107134058E-2</v>
      </c>
      <c r="Q33" s="2">
        <f t="shared" si="3"/>
        <v>23224.966999999997</v>
      </c>
    </row>
    <row r="34" spans="1:17" x14ac:dyDescent="0.2">
      <c r="A34" t="s">
        <v>43</v>
      </c>
      <c r="C34" s="12">
        <v>38268.6</v>
      </c>
      <c r="D34" s="6"/>
      <c r="E34">
        <f t="shared" si="0"/>
        <v>9759.9568351726575</v>
      </c>
      <c r="F34">
        <f t="shared" si="1"/>
        <v>9760</v>
      </c>
      <c r="G34">
        <f t="shared" si="2"/>
        <v>-3.8800000002083834E-2</v>
      </c>
      <c r="I34">
        <f t="shared" si="4"/>
        <v>-3.8800000002083834E-2</v>
      </c>
      <c r="O34">
        <f t="shared" si="5"/>
        <v>5.2469859776522354E-2</v>
      </c>
      <c r="Q34" s="2">
        <f t="shared" si="3"/>
        <v>23250.1</v>
      </c>
    </row>
    <row r="35" spans="1:17" x14ac:dyDescent="0.2">
      <c r="A35" t="s">
        <v>43</v>
      </c>
      <c r="C35" s="12">
        <v>38284.370000000003</v>
      </c>
      <c r="D35" s="6"/>
      <c r="E35">
        <f t="shared" si="0"/>
        <v>9777.5008899964432</v>
      </c>
      <c r="F35">
        <f t="shared" si="1"/>
        <v>9777.5</v>
      </c>
      <c r="G35">
        <f t="shared" si="2"/>
        <v>8.0000000161817297E-4</v>
      </c>
      <c r="I35">
        <f t="shared" si="4"/>
        <v>8.0000000161817297E-4</v>
      </c>
      <c r="O35">
        <f t="shared" si="5"/>
        <v>5.2800815194890022E-2</v>
      </c>
      <c r="Q35" s="2">
        <f t="shared" si="3"/>
        <v>23265.870000000003</v>
      </c>
    </row>
    <row r="36" spans="1:17" x14ac:dyDescent="0.2">
      <c r="A36" t="s">
        <v>43</v>
      </c>
      <c r="C36" s="12">
        <v>38287.449999999997</v>
      </c>
      <c r="D36" s="6"/>
      <c r="E36">
        <f t="shared" si="0"/>
        <v>9780.9273762904922</v>
      </c>
      <c r="F36">
        <f t="shared" si="1"/>
        <v>9781</v>
      </c>
      <c r="G36">
        <f t="shared" si="2"/>
        <v>-6.5280000002530869E-2</v>
      </c>
      <c r="I36">
        <f t="shared" si="4"/>
        <v>-6.5280000002530869E-2</v>
      </c>
      <c r="O36">
        <f t="shared" si="5"/>
        <v>5.2867006278563555E-2</v>
      </c>
      <c r="Q36" s="2">
        <f t="shared" si="3"/>
        <v>23268.949999999997</v>
      </c>
    </row>
    <row r="37" spans="1:17" x14ac:dyDescent="0.2">
      <c r="A37" t="s">
        <v>43</v>
      </c>
      <c r="C37" s="12">
        <v>38311.339999999997</v>
      </c>
      <c r="D37" s="6"/>
      <c r="E37">
        <f t="shared" si="0"/>
        <v>9807.5048949804168</v>
      </c>
      <c r="F37">
        <f t="shared" si="1"/>
        <v>9807.5</v>
      </c>
      <c r="G37">
        <f t="shared" si="2"/>
        <v>4.3999999979860149E-3</v>
      </c>
      <c r="I37">
        <f t="shared" si="4"/>
        <v>4.3999999979860149E-3</v>
      </c>
      <c r="O37">
        <f t="shared" si="5"/>
        <v>5.3368167340663186E-2</v>
      </c>
      <c r="Q37" s="2">
        <f t="shared" si="3"/>
        <v>23292.839999999997</v>
      </c>
    </row>
    <row r="38" spans="1:17" x14ac:dyDescent="0.2">
      <c r="A38" t="s">
        <v>43</v>
      </c>
      <c r="C38" s="12">
        <v>38315.440000000002</v>
      </c>
      <c r="D38" s="6"/>
      <c r="E38">
        <f t="shared" si="0"/>
        <v>9812.0661267354953</v>
      </c>
      <c r="F38">
        <f t="shared" si="1"/>
        <v>9812</v>
      </c>
      <c r="G38">
        <f t="shared" si="2"/>
        <v>5.9440000004542526E-2</v>
      </c>
      <c r="I38">
        <f t="shared" si="4"/>
        <v>5.9440000004542526E-2</v>
      </c>
      <c r="O38">
        <f t="shared" si="5"/>
        <v>5.3453270162529182E-2</v>
      </c>
      <c r="Q38" s="2">
        <f t="shared" si="3"/>
        <v>23296.940000000002</v>
      </c>
    </row>
    <row r="39" spans="1:17" x14ac:dyDescent="0.2">
      <c r="A39" t="s">
        <v>43</v>
      </c>
      <c r="C39" s="12">
        <v>38616.51</v>
      </c>
      <c r="E39">
        <f t="shared" si="0"/>
        <v>10147.005161979354</v>
      </c>
      <c r="F39">
        <f t="shared" si="1"/>
        <v>10147</v>
      </c>
      <c r="G39">
        <f t="shared" si="2"/>
        <v>4.6400000064750202E-3</v>
      </c>
      <c r="I39">
        <f t="shared" si="4"/>
        <v>4.6400000064750202E-3</v>
      </c>
      <c r="O39">
        <f t="shared" si="5"/>
        <v>5.9788702456996162E-2</v>
      </c>
      <c r="Q39" s="2">
        <f t="shared" si="3"/>
        <v>23598.010000000002</v>
      </c>
    </row>
    <row r="40" spans="1:17" x14ac:dyDescent="0.2">
      <c r="A40" t="s">
        <v>43</v>
      </c>
      <c r="C40" s="12">
        <v>38640.28</v>
      </c>
      <c r="E40">
        <f t="shared" si="0"/>
        <v>10173.449181203274</v>
      </c>
      <c r="F40">
        <f t="shared" si="1"/>
        <v>10173.5</v>
      </c>
      <c r="G40">
        <f t="shared" si="2"/>
        <v>-4.5680000002903398E-2</v>
      </c>
      <c r="I40">
        <f t="shared" si="4"/>
        <v>-4.5680000002903398E-2</v>
      </c>
      <c r="O40">
        <f t="shared" si="5"/>
        <v>6.0289863519095793E-2</v>
      </c>
      <c r="Q40" s="2">
        <f t="shared" si="3"/>
        <v>23621.78</v>
      </c>
    </row>
    <row r="41" spans="1:17" x14ac:dyDescent="0.2">
      <c r="A41" t="s">
        <v>43</v>
      </c>
      <c r="C41" s="12">
        <v>38651.57</v>
      </c>
      <c r="E41">
        <f t="shared" si="0"/>
        <v>10186.009255962976</v>
      </c>
      <c r="F41">
        <f t="shared" si="1"/>
        <v>10186</v>
      </c>
      <c r="G41">
        <f t="shared" si="2"/>
        <v>8.3200000008218922E-3</v>
      </c>
      <c r="I41">
        <f t="shared" si="4"/>
        <v>8.3200000008218922E-3</v>
      </c>
      <c r="O41">
        <f t="shared" si="5"/>
        <v>6.052626024650129E-2</v>
      </c>
      <c r="Q41" s="2">
        <f t="shared" si="3"/>
        <v>23633.07</v>
      </c>
    </row>
    <row r="42" spans="1:17" x14ac:dyDescent="0.2">
      <c r="A42" t="s">
        <v>43</v>
      </c>
      <c r="C42" s="12">
        <v>38652.44</v>
      </c>
      <c r="E42">
        <f t="shared" si="0"/>
        <v>10186.977127091495</v>
      </c>
      <c r="F42">
        <f t="shared" si="1"/>
        <v>10187</v>
      </c>
      <c r="G42">
        <f t="shared" si="2"/>
        <v>-2.0559999997203704E-2</v>
      </c>
      <c r="I42">
        <f t="shared" si="4"/>
        <v>-2.0559999997203704E-2</v>
      </c>
      <c r="O42">
        <f t="shared" si="5"/>
        <v>6.0545171984693724E-2</v>
      </c>
      <c r="Q42" s="2">
        <f t="shared" si="3"/>
        <v>23633.940000000002</v>
      </c>
    </row>
    <row r="43" spans="1:17" x14ac:dyDescent="0.2">
      <c r="A43" t="s">
        <v>43</v>
      </c>
      <c r="C43" s="12">
        <v>38998.481</v>
      </c>
      <c r="E43">
        <f t="shared" si="0"/>
        <v>10571.946199715201</v>
      </c>
      <c r="F43">
        <f t="shared" si="1"/>
        <v>10572</v>
      </c>
      <c r="G43">
        <f t="shared" si="2"/>
        <v>-4.8360000000684522E-2</v>
      </c>
      <c r="I43">
        <f t="shared" si="4"/>
        <v>-4.8360000000684522E-2</v>
      </c>
      <c r="O43">
        <f t="shared" si="5"/>
        <v>6.7826191188782664E-2</v>
      </c>
      <c r="Q43" s="2">
        <f t="shared" si="3"/>
        <v>23979.981</v>
      </c>
    </row>
    <row r="44" spans="1:17" x14ac:dyDescent="0.2">
      <c r="A44" t="s">
        <v>43</v>
      </c>
      <c r="C44" s="12">
        <v>39053.389000000003</v>
      </c>
      <c r="E44">
        <f t="shared" si="0"/>
        <v>10633.031105375581</v>
      </c>
      <c r="F44">
        <f t="shared" si="1"/>
        <v>10633</v>
      </c>
      <c r="G44">
        <f t="shared" si="2"/>
        <v>2.7959999999438878E-2</v>
      </c>
      <c r="I44">
        <f t="shared" si="4"/>
        <v>2.7959999999438878E-2</v>
      </c>
      <c r="O44">
        <f t="shared" si="5"/>
        <v>6.8979807218521427E-2</v>
      </c>
      <c r="Q44" s="2">
        <f t="shared" si="3"/>
        <v>24034.889000000003</v>
      </c>
    </row>
    <row r="45" spans="1:17" x14ac:dyDescent="0.2">
      <c r="A45" t="s">
        <v>43</v>
      </c>
      <c r="C45" s="12">
        <v>39142.305999999997</v>
      </c>
      <c r="E45">
        <f t="shared" si="0"/>
        <v>10731.950872196508</v>
      </c>
      <c r="F45">
        <f t="shared" si="1"/>
        <v>10732</v>
      </c>
      <c r="G45">
        <f t="shared" si="2"/>
        <v>-4.416000000492204E-2</v>
      </c>
      <c r="I45">
        <f t="shared" si="4"/>
        <v>-4.416000000492204E-2</v>
      </c>
      <c r="O45">
        <f t="shared" si="5"/>
        <v>7.0852069299572884E-2</v>
      </c>
      <c r="Q45" s="2">
        <f t="shared" si="3"/>
        <v>24123.805999999997</v>
      </c>
    </row>
    <row r="46" spans="1:17" x14ac:dyDescent="0.2">
      <c r="A46" t="s">
        <v>43</v>
      </c>
      <c r="C46" s="12">
        <v>39381.462</v>
      </c>
      <c r="E46">
        <f t="shared" si="0"/>
        <v>10998.010857956568</v>
      </c>
      <c r="F46">
        <f t="shared" si="1"/>
        <v>10998</v>
      </c>
      <c r="G46">
        <f t="shared" si="2"/>
        <v>9.7600000008242205E-3</v>
      </c>
      <c r="I46">
        <f t="shared" si="4"/>
        <v>9.7600000008242205E-3</v>
      </c>
      <c r="O46">
        <f t="shared" si="5"/>
        <v>7.58825916587616E-2</v>
      </c>
      <c r="Q46" s="2">
        <f t="shared" si="3"/>
        <v>24362.962</v>
      </c>
    </row>
    <row r="47" spans="1:17" x14ac:dyDescent="0.2">
      <c r="A47" t="s">
        <v>43</v>
      </c>
      <c r="C47" s="12">
        <v>39390.478999999999</v>
      </c>
      <c r="E47">
        <f t="shared" si="0"/>
        <v>11008.042230331079</v>
      </c>
      <c r="F47">
        <f t="shared" si="1"/>
        <v>11008</v>
      </c>
      <c r="G47">
        <f t="shared" si="2"/>
        <v>3.7960000001476146E-2</v>
      </c>
      <c r="I47">
        <f t="shared" si="4"/>
        <v>3.7960000001476146E-2</v>
      </c>
      <c r="O47">
        <f t="shared" si="5"/>
        <v>7.6071709040685997E-2</v>
      </c>
      <c r="Q47" s="2">
        <f t="shared" si="3"/>
        <v>24371.978999999999</v>
      </c>
    </row>
    <row r="48" spans="1:17" x14ac:dyDescent="0.2">
      <c r="A48" t="s">
        <v>43</v>
      </c>
      <c r="C48" s="12">
        <v>39533.281000000003</v>
      </c>
      <c r="E48">
        <f t="shared" si="0"/>
        <v>11166.908819864724</v>
      </c>
      <c r="F48">
        <f t="shared" si="1"/>
        <v>11167</v>
      </c>
      <c r="G48">
        <f t="shared" si="2"/>
        <v>-8.1959999995888211E-2</v>
      </c>
      <c r="I48">
        <f t="shared" si="4"/>
        <v>-8.1959999995888211E-2</v>
      </c>
      <c r="O48">
        <f t="shared" si="5"/>
        <v>7.9078675413283755E-2</v>
      </c>
      <c r="Q48" s="2">
        <f t="shared" si="3"/>
        <v>24514.781000000003</v>
      </c>
    </row>
    <row r="49" spans="1:17" x14ac:dyDescent="0.2">
      <c r="A49" t="s">
        <v>43</v>
      </c>
      <c r="C49" s="12">
        <v>39593.553999999996</v>
      </c>
      <c r="E49">
        <f t="shared" si="0"/>
        <v>11233.96226415094</v>
      </c>
      <c r="F49">
        <f t="shared" si="1"/>
        <v>11234</v>
      </c>
      <c r="G49">
        <f t="shared" si="2"/>
        <v>-3.3920000001671724E-2</v>
      </c>
      <c r="I49">
        <f t="shared" si="4"/>
        <v>-3.3920000001671724E-2</v>
      </c>
      <c r="O49">
        <f t="shared" si="5"/>
        <v>8.0345761872177152E-2</v>
      </c>
      <c r="Q49" s="2">
        <f t="shared" si="3"/>
        <v>24575.053999999996</v>
      </c>
    </row>
    <row r="50" spans="1:17" x14ac:dyDescent="0.2">
      <c r="A50" t="s">
        <v>43</v>
      </c>
      <c r="C50" s="12">
        <v>39611.565000000002</v>
      </c>
      <c r="E50">
        <f t="shared" si="0"/>
        <v>11253.999421502316</v>
      </c>
      <c r="F50">
        <f t="shared" si="1"/>
        <v>11254</v>
      </c>
      <c r="G50">
        <f t="shared" si="2"/>
        <v>-5.2000000141561031E-4</v>
      </c>
      <c r="I50">
        <f t="shared" si="4"/>
        <v>-5.2000000141561031E-4</v>
      </c>
      <c r="O50">
        <f t="shared" si="5"/>
        <v>8.0723996636025919E-2</v>
      </c>
      <c r="Q50" s="2">
        <f t="shared" si="3"/>
        <v>24593.065000000002</v>
      </c>
    </row>
    <row r="51" spans="1:17" x14ac:dyDescent="0.2">
      <c r="A51" t="s">
        <v>43</v>
      </c>
      <c r="C51" s="12">
        <v>39683.489000000001</v>
      </c>
      <c r="E51">
        <f t="shared" si="0"/>
        <v>11334.014551441796</v>
      </c>
      <c r="F51">
        <f t="shared" si="1"/>
        <v>11334</v>
      </c>
      <c r="G51">
        <f t="shared" si="2"/>
        <v>1.3080000004265457E-2</v>
      </c>
      <c r="I51">
        <f t="shared" si="4"/>
        <v>1.3080000004265457E-2</v>
      </c>
      <c r="O51">
        <f t="shared" si="5"/>
        <v>8.2236935691421043E-2</v>
      </c>
      <c r="Q51" s="2">
        <f t="shared" si="3"/>
        <v>24664.989000000001</v>
      </c>
    </row>
    <row r="52" spans="1:17" x14ac:dyDescent="0.2">
      <c r="A52" t="s">
        <v>43</v>
      </c>
      <c r="C52" s="12">
        <v>39701.442999999999</v>
      </c>
      <c r="E52">
        <f t="shared" si="0"/>
        <v>11353.988296546813</v>
      </c>
      <c r="F52">
        <f t="shared" si="1"/>
        <v>11354</v>
      </c>
      <c r="G52">
        <f t="shared" si="2"/>
        <v>-1.0519999996176921E-2</v>
      </c>
      <c r="I52">
        <f t="shared" si="4"/>
        <v>-1.0519999996176921E-2</v>
      </c>
      <c r="O52">
        <f t="shared" si="5"/>
        <v>8.261517045526981E-2</v>
      </c>
      <c r="Q52" s="2">
        <f t="shared" si="3"/>
        <v>24682.942999999999</v>
      </c>
    </row>
    <row r="53" spans="1:17" x14ac:dyDescent="0.2">
      <c r="A53" t="s">
        <v>43</v>
      </c>
      <c r="C53" s="12">
        <v>39827.349000000002</v>
      </c>
      <c r="E53">
        <f t="shared" si="0"/>
        <v>11494.058161267358</v>
      </c>
      <c r="F53">
        <f t="shared" ref="F53:F69" si="6">ROUND(2*E53,0)/2</f>
        <v>11494</v>
      </c>
      <c r="G53">
        <f t="shared" ref="G53:G69" si="7">+C53-(C$7+F53*C$8)</f>
        <v>5.2280000003520399E-2</v>
      </c>
      <c r="I53">
        <f t="shared" si="4"/>
        <v>5.2280000003520399E-2</v>
      </c>
      <c r="O53">
        <f t="shared" si="5"/>
        <v>8.5262813802211235E-2</v>
      </c>
      <c r="Q53" s="2">
        <f t="shared" ref="Q53:Q69" si="8">+C53-15018.5</f>
        <v>24808.849000000002</v>
      </c>
    </row>
    <row r="54" spans="1:17" x14ac:dyDescent="0.2">
      <c r="A54" t="s">
        <v>43</v>
      </c>
      <c r="C54" s="12">
        <v>40101.508999999998</v>
      </c>
      <c r="E54">
        <f t="shared" si="0"/>
        <v>11799.059941260233</v>
      </c>
      <c r="F54">
        <f t="shared" si="6"/>
        <v>11799</v>
      </c>
      <c r="G54">
        <f t="shared" si="7"/>
        <v>5.3879999999480788E-2</v>
      </c>
      <c r="I54">
        <f t="shared" si="4"/>
        <v>5.3879999999480788E-2</v>
      </c>
      <c r="O54">
        <f t="shared" si="5"/>
        <v>9.1030893950905079E-2</v>
      </c>
      <c r="Q54" s="2">
        <f t="shared" si="8"/>
        <v>25083.008999999998</v>
      </c>
    </row>
    <row r="55" spans="1:17" x14ac:dyDescent="0.2">
      <c r="A55" t="s">
        <v>43</v>
      </c>
      <c r="C55" s="12">
        <v>40201.26</v>
      </c>
      <c r="E55">
        <f t="shared" si="0"/>
        <v>11910.032484870064</v>
      </c>
      <c r="F55">
        <f t="shared" si="6"/>
        <v>11910</v>
      </c>
      <c r="G55">
        <f t="shared" si="7"/>
        <v>2.9200000004493631E-2</v>
      </c>
      <c r="I55">
        <f t="shared" si="4"/>
        <v>2.9200000004493631E-2</v>
      </c>
      <c r="O55">
        <f t="shared" si="5"/>
        <v>9.3130096890265801E-2</v>
      </c>
      <c r="Q55" s="2">
        <f t="shared" si="8"/>
        <v>25182.760000000002</v>
      </c>
    </row>
    <row r="56" spans="1:17" x14ac:dyDescent="0.2">
      <c r="A56" t="s">
        <v>35</v>
      </c>
      <c r="B56" s="6" t="s">
        <v>36</v>
      </c>
      <c r="C56">
        <v>49909.429700000001</v>
      </c>
      <c r="D56" s="6">
        <v>1.8E-3</v>
      </c>
      <c r="E56" s="11">
        <f t="shared" ref="E56:E69" si="9">+(C56-C$7)/C$8-0.5</f>
        <v>22709.828074937701</v>
      </c>
      <c r="F56">
        <f t="shared" si="6"/>
        <v>22710</v>
      </c>
      <c r="G56">
        <f t="shared" si="7"/>
        <v>0.29490000000077998</v>
      </c>
      <c r="J56">
        <f t="shared" ref="J56:J67" si="10">G56</f>
        <v>0.29490000000077998</v>
      </c>
      <c r="O56">
        <f t="shared" si="5"/>
        <v>0.29737686936860491</v>
      </c>
      <c r="Q56" s="2">
        <f t="shared" si="8"/>
        <v>34890.929700000001</v>
      </c>
    </row>
    <row r="57" spans="1:17" x14ac:dyDescent="0.2">
      <c r="A57" t="s">
        <v>35</v>
      </c>
      <c r="B57" s="6" t="s">
        <v>37</v>
      </c>
      <c r="C57">
        <v>49912.5798</v>
      </c>
      <c r="D57" s="6">
        <v>1.4E-3</v>
      </c>
      <c r="E57" s="11">
        <f t="shared" si="9"/>
        <v>22713.332547169812</v>
      </c>
      <c r="F57">
        <f t="shared" si="6"/>
        <v>22713.5</v>
      </c>
      <c r="G57">
        <f t="shared" si="7"/>
        <v>0.29892000000108965</v>
      </c>
      <c r="J57">
        <f t="shared" si="10"/>
        <v>0.29892000000108965</v>
      </c>
      <c r="O57">
        <f t="shared" si="5"/>
        <v>0.29744306045227847</v>
      </c>
      <c r="Q57" s="2">
        <f t="shared" si="8"/>
        <v>34894.0798</v>
      </c>
    </row>
    <row r="58" spans="1:17" x14ac:dyDescent="0.2">
      <c r="A58" t="s">
        <v>35</v>
      </c>
      <c r="B58" s="6" t="s">
        <v>36</v>
      </c>
      <c r="C58">
        <v>49918.422400000003</v>
      </c>
      <c r="D58" s="6">
        <v>1E-3</v>
      </c>
      <c r="E58" s="11">
        <f t="shared" si="9"/>
        <v>22719.832413670349</v>
      </c>
      <c r="F58">
        <f t="shared" si="6"/>
        <v>22720</v>
      </c>
      <c r="G58">
        <f t="shared" si="7"/>
        <v>0.2988000000041211</v>
      </c>
      <c r="J58">
        <f t="shared" si="10"/>
        <v>0.2988000000041211</v>
      </c>
      <c r="O58">
        <f t="shared" si="5"/>
        <v>0.29756598675052931</v>
      </c>
      <c r="Q58" s="2">
        <f t="shared" si="8"/>
        <v>34899.922400000003</v>
      </c>
    </row>
    <row r="59" spans="1:17" x14ac:dyDescent="0.2">
      <c r="A59" t="s">
        <v>35</v>
      </c>
      <c r="B59" s="6" t="s">
        <v>36</v>
      </c>
      <c r="C59">
        <v>49928.309000000001</v>
      </c>
      <c r="D59" s="6">
        <v>8.0000000000000004E-4</v>
      </c>
      <c r="E59" s="11">
        <f t="shared" si="9"/>
        <v>22730.831212175151</v>
      </c>
      <c r="F59">
        <f t="shared" si="6"/>
        <v>22731</v>
      </c>
      <c r="G59">
        <f t="shared" si="7"/>
        <v>0.29772000000230037</v>
      </c>
      <c r="J59">
        <f t="shared" si="10"/>
        <v>0.29772000000230037</v>
      </c>
      <c r="O59">
        <f t="shared" si="5"/>
        <v>0.29777401587064617</v>
      </c>
      <c r="Q59" s="2">
        <f t="shared" si="8"/>
        <v>34909.809000000001</v>
      </c>
    </row>
    <row r="60" spans="1:17" x14ac:dyDescent="0.2">
      <c r="A60" t="s">
        <v>35</v>
      </c>
      <c r="B60" s="6" t="s">
        <v>37</v>
      </c>
      <c r="C60">
        <v>49931.460800000001</v>
      </c>
      <c r="D60" s="6">
        <v>5.0000000000000001E-4</v>
      </c>
      <c r="E60" s="11">
        <f t="shared" si="9"/>
        <v>22734.337575649697</v>
      </c>
      <c r="F60">
        <f t="shared" si="6"/>
        <v>22734.5</v>
      </c>
      <c r="G60">
        <f t="shared" si="7"/>
        <v>0.30344000000332016</v>
      </c>
      <c r="J60">
        <f t="shared" si="10"/>
        <v>0.30344000000332016</v>
      </c>
      <c r="O60">
        <f t="shared" si="5"/>
        <v>0.29784020695431968</v>
      </c>
      <c r="Q60" s="2">
        <f t="shared" si="8"/>
        <v>34912.960800000001</v>
      </c>
    </row>
    <row r="61" spans="1:17" x14ac:dyDescent="0.2">
      <c r="A61" t="s">
        <v>35</v>
      </c>
      <c r="B61" s="6" t="s">
        <v>36</v>
      </c>
      <c r="C61">
        <v>49935.498299999999</v>
      </c>
      <c r="D61" s="6">
        <v>6.9999999999999999E-4</v>
      </c>
      <c r="E61" s="11">
        <f t="shared" si="9"/>
        <v>22738.829276432894</v>
      </c>
      <c r="F61">
        <f t="shared" si="6"/>
        <v>22739</v>
      </c>
      <c r="G61">
        <f t="shared" si="7"/>
        <v>0.29598000000260072</v>
      </c>
      <c r="J61">
        <f t="shared" si="10"/>
        <v>0.29598000000260072</v>
      </c>
      <c r="O61">
        <f t="shared" si="5"/>
        <v>0.29792530977618564</v>
      </c>
      <c r="Q61" s="2">
        <f t="shared" si="8"/>
        <v>34916.998299999999</v>
      </c>
    </row>
    <row r="62" spans="1:17" x14ac:dyDescent="0.2">
      <c r="A62" t="s">
        <v>35</v>
      </c>
      <c r="B62" s="6" t="s">
        <v>36</v>
      </c>
      <c r="C62">
        <v>49997.520499999999</v>
      </c>
      <c r="D62" s="6" t="s">
        <v>16</v>
      </c>
      <c r="E62" s="11">
        <f t="shared" si="9"/>
        <v>22807.828697935205</v>
      </c>
      <c r="F62">
        <f t="shared" si="6"/>
        <v>22808</v>
      </c>
      <c r="G62">
        <f t="shared" si="7"/>
        <v>0.29545999999390915</v>
      </c>
      <c r="J62">
        <f t="shared" si="10"/>
        <v>0.29545999999390915</v>
      </c>
      <c r="O62">
        <f t="shared" si="5"/>
        <v>0.29923021971146391</v>
      </c>
      <c r="Q62" s="2">
        <f t="shared" si="8"/>
        <v>34979.020499999999</v>
      </c>
    </row>
    <row r="63" spans="1:17" x14ac:dyDescent="0.2">
      <c r="A63" t="s">
        <v>35</v>
      </c>
      <c r="B63" s="6" t="s">
        <v>37</v>
      </c>
      <c r="C63">
        <v>50224.497799999997</v>
      </c>
      <c r="D63" s="6">
        <v>4.0000000000000002E-4</v>
      </c>
      <c r="E63" s="11">
        <f t="shared" si="9"/>
        <v>23060.339934140262</v>
      </c>
      <c r="F63">
        <f t="shared" si="6"/>
        <v>23060.5</v>
      </c>
      <c r="G63">
        <f t="shared" si="7"/>
        <v>0.30555999999342021</v>
      </c>
      <c r="J63">
        <f t="shared" si="10"/>
        <v>0.30555999999342021</v>
      </c>
      <c r="O63">
        <f t="shared" si="5"/>
        <v>0.30400543360505472</v>
      </c>
      <c r="Q63" s="2">
        <f t="shared" si="8"/>
        <v>35205.997799999997</v>
      </c>
    </row>
    <row r="64" spans="1:17" x14ac:dyDescent="0.2">
      <c r="A64" t="s">
        <v>35</v>
      </c>
      <c r="B64" s="6" t="s">
        <v>36</v>
      </c>
      <c r="C64">
        <v>50370.566099999996</v>
      </c>
      <c r="D64" s="6">
        <v>2.9999999999999997E-4</v>
      </c>
      <c r="E64" s="11">
        <f t="shared" si="9"/>
        <v>23222.840267888925</v>
      </c>
      <c r="F64">
        <f t="shared" si="6"/>
        <v>23223</v>
      </c>
      <c r="G64">
        <f t="shared" si="7"/>
        <v>0.30585999999311753</v>
      </c>
      <c r="J64">
        <f t="shared" si="10"/>
        <v>0.30585999999311753</v>
      </c>
      <c r="O64">
        <f t="shared" si="5"/>
        <v>0.30707859106132601</v>
      </c>
      <c r="Q64" s="2">
        <f t="shared" si="8"/>
        <v>35352.066099999996</v>
      </c>
    </row>
    <row r="65" spans="1:17" x14ac:dyDescent="0.2">
      <c r="A65" t="s">
        <v>35</v>
      </c>
      <c r="B65" s="6" t="s">
        <v>36</v>
      </c>
      <c r="C65">
        <v>50717.541299999997</v>
      </c>
      <c r="D65" s="6">
        <v>5.9999999999999995E-4</v>
      </c>
      <c r="E65" s="11">
        <f t="shared" si="9"/>
        <v>23608.848633855461</v>
      </c>
      <c r="F65">
        <f t="shared" si="6"/>
        <v>23609</v>
      </c>
      <c r="G65">
        <f t="shared" si="7"/>
        <v>0.31337999999232125</v>
      </c>
      <c r="J65">
        <f t="shared" si="10"/>
        <v>0.31337999999232125</v>
      </c>
      <c r="O65">
        <f t="shared" si="5"/>
        <v>0.31437852200360744</v>
      </c>
      <c r="Q65" s="2">
        <f t="shared" si="8"/>
        <v>35699.041299999997</v>
      </c>
    </row>
    <row r="66" spans="1:17" x14ac:dyDescent="0.2">
      <c r="A66" t="s">
        <v>38</v>
      </c>
      <c r="B66" s="6" t="s">
        <v>37</v>
      </c>
      <c r="C66" s="12">
        <v>52198.48</v>
      </c>
      <c r="D66" s="13">
        <v>5.0000000000000001E-3</v>
      </c>
      <c r="E66" s="11">
        <f t="shared" si="9"/>
        <v>25256.386347454612</v>
      </c>
      <c r="F66">
        <f t="shared" si="6"/>
        <v>25256.5</v>
      </c>
      <c r="G66">
        <f t="shared" si="7"/>
        <v>0.34728000000177417</v>
      </c>
      <c r="J66">
        <f t="shared" si="10"/>
        <v>0.34728000000177417</v>
      </c>
      <c r="O66">
        <f t="shared" si="5"/>
        <v>0.34553561067565036</v>
      </c>
      <c r="Q66" s="2">
        <f t="shared" si="8"/>
        <v>37179.980000000003</v>
      </c>
    </row>
    <row r="67" spans="1:17" x14ac:dyDescent="0.2">
      <c r="A67" t="s">
        <v>39</v>
      </c>
      <c r="B67" s="6" t="s">
        <v>36</v>
      </c>
      <c r="C67" s="12">
        <v>52531.518900000003</v>
      </c>
      <c r="D67" s="13">
        <v>1.6999999999999999E-3</v>
      </c>
      <c r="E67" s="11">
        <f t="shared" si="9"/>
        <v>25626.890641687438</v>
      </c>
      <c r="F67">
        <f t="shared" si="6"/>
        <v>25627</v>
      </c>
      <c r="G67">
        <f t="shared" si="7"/>
        <v>0.35114000000612577</v>
      </c>
      <c r="J67">
        <f t="shared" si="10"/>
        <v>0.35114000000612577</v>
      </c>
      <c r="O67">
        <f t="shared" si="5"/>
        <v>0.35254240967594891</v>
      </c>
      <c r="Q67" s="2">
        <f t="shared" si="8"/>
        <v>37513.018900000003</v>
      </c>
    </row>
    <row r="68" spans="1:17" x14ac:dyDescent="0.2">
      <c r="A68" t="s">
        <v>40</v>
      </c>
      <c r="B68" s="6"/>
      <c r="C68">
        <v>52953.103300000002</v>
      </c>
      <c r="D68" s="6">
        <v>2.0000000000000001E-4</v>
      </c>
      <c r="E68" s="11">
        <f t="shared" si="9"/>
        <v>26095.901410644361</v>
      </c>
      <c r="F68">
        <f t="shared" si="6"/>
        <v>26096</v>
      </c>
      <c r="G68">
        <f t="shared" si="7"/>
        <v>0.36082000000169501</v>
      </c>
      <c r="K68">
        <f>G68</f>
        <v>0.36082000000169501</v>
      </c>
      <c r="O68">
        <f t="shared" si="5"/>
        <v>0.36141201488820274</v>
      </c>
      <c r="Q68" s="2">
        <f t="shared" si="8"/>
        <v>37934.603300000002</v>
      </c>
    </row>
    <row r="69" spans="1:17" x14ac:dyDescent="0.2">
      <c r="A69" s="14" t="s">
        <v>41</v>
      </c>
      <c r="B69" s="6" t="s">
        <v>36</v>
      </c>
      <c r="C69" s="15">
        <v>52986.364000000001</v>
      </c>
      <c r="D69" s="15">
        <v>1.1999999999999999E-3</v>
      </c>
      <c r="E69" s="11">
        <f t="shared" si="9"/>
        <v>26132.903791384837</v>
      </c>
      <c r="F69">
        <f t="shared" si="6"/>
        <v>26133</v>
      </c>
      <c r="G69">
        <f t="shared" si="7"/>
        <v>0.36295999999856576</v>
      </c>
      <c r="J69">
        <f>G69</f>
        <v>0.36295999999856576</v>
      </c>
      <c r="O69">
        <f t="shared" si="5"/>
        <v>0.362111749201323</v>
      </c>
      <c r="Q69" s="2">
        <f t="shared" si="8"/>
        <v>37967.864000000001</v>
      </c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41"/>
  <sheetViews>
    <sheetView topLeftCell="A43" workbookViewId="0">
      <selection activeCell="A11" sqref="A11:IV448"/>
    </sheetView>
  </sheetViews>
  <sheetFormatPr defaultRowHeight="12.75" x14ac:dyDescent="0.2"/>
  <cols>
    <col min="1" max="1" width="19.7109375" style="17" customWidth="1"/>
    <col min="2" max="2" width="4.42578125" style="19" customWidth="1"/>
    <col min="3" max="3" width="12.7109375" style="17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17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 x14ac:dyDescent="0.25">
      <c r="A1" s="41" t="s">
        <v>64</v>
      </c>
      <c r="I1" s="42" t="s">
        <v>65</v>
      </c>
      <c r="J1" s="43" t="s">
        <v>66</v>
      </c>
    </row>
    <row r="2" spans="1:16" x14ac:dyDescent="0.2">
      <c r="I2" s="44" t="s">
        <v>67</v>
      </c>
      <c r="J2" s="45" t="s">
        <v>68</v>
      </c>
    </row>
    <row r="3" spans="1:16" x14ac:dyDescent="0.2">
      <c r="A3" s="46" t="s">
        <v>69</v>
      </c>
      <c r="I3" s="44" t="s">
        <v>70</v>
      </c>
      <c r="J3" s="45" t="s">
        <v>71</v>
      </c>
    </row>
    <row r="4" spans="1:16" x14ac:dyDescent="0.2">
      <c r="I4" s="44" t="s">
        <v>72</v>
      </c>
      <c r="J4" s="45" t="s">
        <v>71</v>
      </c>
    </row>
    <row r="5" spans="1:16" ht="13.5" thickBot="1" x14ac:dyDescent="0.25">
      <c r="I5" s="47" t="s">
        <v>73</v>
      </c>
      <c r="J5" s="48" t="s">
        <v>74</v>
      </c>
    </row>
    <row r="10" spans="1:16" ht="13.5" thickBot="1" x14ac:dyDescent="0.25"/>
    <row r="11" spans="1:16" ht="12.75" customHeight="1" thickBot="1" x14ac:dyDescent="0.25">
      <c r="A11" s="17" t="str">
        <f t="shared" ref="A11:A42" si="0">P11</f>
        <v> MVS 5.131 </v>
      </c>
      <c r="B11" s="6" t="str">
        <f t="shared" ref="B11:B42" si="1">IF(H11=INT(H11),"I","II")</f>
        <v>I</v>
      </c>
      <c r="C11" s="17">
        <f t="shared" ref="C11:C42" si="2">1*G11</f>
        <v>29495.471000000001</v>
      </c>
      <c r="D11" s="19" t="str">
        <f t="shared" ref="D11:D42" si="3">VLOOKUP(F11,I$1:J$5,2,FALSE)</f>
        <v>vis</v>
      </c>
      <c r="E11" s="49">
        <f>VLOOKUP(C11,Active!C$21:E$973,3,FALSE)</f>
        <v>-0.11013474230033909</v>
      </c>
      <c r="F11" s="6" t="s">
        <v>73</v>
      </c>
      <c r="G11" s="19" t="str">
        <f t="shared" ref="G11:G42" si="4">MID(I11,3,LEN(I11)-3)</f>
        <v>29495.471</v>
      </c>
      <c r="H11" s="17">
        <f t="shared" ref="H11:H42" si="5">1*K11</f>
        <v>0</v>
      </c>
      <c r="I11" s="50" t="s">
        <v>76</v>
      </c>
      <c r="J11" s="51" t="s">
        <v>77</v>
      </c>
      <c r="K11" s="50">
        <v>0</v>
      </c>
      <c r="L11" s="50" t="s">
        <v>78</v>
      </c>
      <c r="M11" s="51" t="s">
        <v>79</v>
      </c>
      <c r="N11" s="51"/>
      <c r="O11" s="52" t="s">
        <v>80</v>
      </c>
      <c r="P11" s="52" t="s">
        <v>81</v>
      </c>
    </row>
    <row r="12" spans="1:16" ht="12.75" customHeight="1" thickBot="1" x14ac:dyDescent="0.25">
      <c r="A12" s="17" t="str">
        <f t="shared" si="0"/>
        <v> MVS 5.131 </v>
      </c>
      <c r="B12" s="6" t="str">
        <f t="shared" si="1"/>
        <v>II</v>
      </c>
      <c r="C12" s="17">
        <f t="shared" si="2"/>
        <v>33928.49</v>
      </c>
      <c r="D12" s="19" t="str">
        <f t="shared" si="3"/>
        <v>vis</v>
      </c>
      <c r="E12" s="49">
        <f>VLOOKUP(C12,Active!C$21:E$973,3,FALSE)</f>
        <v>4931.500018648484</v>
      </c>
      <c r="F12" s="6" t="s">
        <v>73</v>
      </c>
      <c r="G12" s="19" t="str">
        <f t="shared" si="4"/>
        <v>33928.490</v>
      </c>
      <c r="H12" s="17">
        <f t="shared" si="5"/>
        <v>4931.5</v>
      </c>
      <c r="I12" s="50" t="s">
        <v>82</v>
      </c>
      <c r="J12" s="51" t="s">
        <v>83</v>
      </c>
      <c r="K12" s="50">
        <v>4931.5</v>
      </c>
      <c r="L12" s="50" t="s">
        <v>84</v>
      </c>
      <c r="M12" s="51" t="s">
        <v>79</v>
      </c>
      <c r="N12" s="51"/>
      <c r="O12" s="52" t="s">
        <v>80</v>
      </c>
      <c r="P12" s="52" t="s">
        <v>81</v>
      </c>
    </row>
    <row r="13" spans="1:16" ht="12.75" customHeight="1" thickBot="1" x14ac:dyDescent="0.25">
      <c r="A13" s="17" t="str">
        <f t="shared" si="0"/>
        <v> MVS 5.131 </v>
      </c>
      <c r="B13" s="6" t="str">
        <f t="shared" si="1"/>
        <v>I</v>
      </c>
      <c r="C13" s="17">
        <f t="shared" si="2"/>
        <v>34455.565999999999</v>
      </c>
      <c r="D13" s="19" t="str">
        <f t="shared" si="3"/>
        <v>vis</v>
      </c>
      <c r="E13" s="49">
        <f>VLOOKUP(C13,Active!C$21:E$973,3,FALSE)</f>
        <v>5517.857386665316</v>
      </c>
      <c r="F13" s="6" t="s">
        <v>73</v>
      </c>
      <c r="G13" s="19" t="str">
        <f t="shared" si="4"/>
        <v>34455.566</v>
      </c>
      <c r="H13" s="17">
        <f t="shared" si="5"/>
        <v>5518</v>
      </c>
      <c r="I13" s="50" t="s">
        <v>85</v>
      </c>
      <c r="J13" s="51" t="s">
        <v>86</v>
      </c>
      <c r="K13" s="50">
        <v>5518</v>
      </c>
      <c r="L13" s="50" t="s">
        <v>87</v>
      </c>
      <c r="M13" s="51" t="s">
        <v>79</v>
      </c>
      <c r="N13" s="51"/>
      <c r="O13" s="52" t="s">
        <v>80</v>
      </c>
      <c r="P13" s="52" t="s">
        <v>81</v>
      </c>
    </row>
    <row r="14" spans="1:16" ht="12.75" customHeight="1" thickBot="1" x14ac:dyDescent="0.25">
      <c r="A14" s="17" t="str">
        <f t="shared" si="0"/>
        <v> MVS 5.131 </v>
      </c>
      <c r="B14" s="6" t="str">
        <f t="shared" si="1"/>
        <v>II</v>
      </c>
      <c r="C14" s="17">
        <f t="shared" si="2"/>
        <v>36480.349000000002</v>
      </c>
      <c r="D14" s="19" t="str">
        <f t="shared" si="3"/>
        <v>vis</v>
      </c>
      <c r="E14" s="49">
        <f>VLOOKUP(C14,Active!C$21:E$973,3,FALSE)</f>
        <v>7770.3720727546552</v>
      </c>
      <c r="F14" s="6" t="s">
        <v>73</v>
      </c>
      <c r="G14" s="19" t="str">
        <f t="shared" si="4"/>
        <v>36480.349</v>
      </c>
      <c r="H14" s="17">
        <f t="shared" si="5"/>
        <v>7770.5</v>
      </c>
      <c r="I14" s="50" t="s">
        <v>88</v>
      </c>
      <c r="J14" s="51" t="s">
        <v>89</v>
      </c>
      <c r="K14" s="50">
        <v>7770.5</v>
      </c>
      <c r="L14" s="50" t="s">
        <v>90</v>
      </c>
      <c r="M14" s="51" t="s">
        <v>79</v>
      </c>
      <c r="N14" s="51"/>
      <c r="O14" s="52" t="s">
        <v>80</v>
      </c>
      <c r="P14" s="52" t="s">
        <v>81</v>
      </c>
    </row>
    <row r="15" spans="1:16" ht="12.75" customHeight="1" thickBot="1" x14ac:dyDescent="0.25">
      <c r="A15" s="17" t="str">
        <f t="shared" si="0"/>
        <v> MVS 5.131 </v>
      </c>
      <c r="B15" s="6" t="str">
        <f t="shared" si="1"/>
        <v>II</v>
      </c>
      <c r="C15" s="17">
        <f t="shared" si="2"/>
        <v>36754.506000000001</v>
      </c>
      <c r="D15" s="19" t="str">
        <f t="shared" si="3"/>
        <v>vis</v>
      </c>
      <c r="E15" s="49">
        <f>VLOOKUP(C15,Active!C$21:E$973,3,FALSE)</f>
        <v>8075.3640984651593</v>
      </c>
      <c r="F15" s="6" t="s">
        <v>73</v>
      </c>
      <c r="G15" s="19" t="str">
        <f t="shared" si="4"/>
        <v>36754.506</v>
      </c>
      <c r="H15" s="17">
        <f t="shared" si="5"/>
        <v>8075.5</v>
      </c>
      <c r="I15" s="50" t="s">
        <v>91</v>
      </c>
      <c r="J15" s="51" t="s">
        <v>92</v>
      </c>
      <c r="K15" s="50">
        <v>8075.5</v>
      </c>
      <c r="L15" s="50" t="s">
        <v>93</v>
      </c>
      <c r="M15" s="51" t="s">
        <v>79</v>
      </c>
      <c r="N15" s="51"/>
      <c r="O15" s="52" t="s">
        <v>80</v>
      </c>
      <c r="P15" s="52" t="s">
        <v>81</v>
      </c>
    </row>
    <row r="16" spans="1:16" ht="12.75" customHeight="1" thickBot="1" x14ac:dyDescent="0.25">
      <c r="A16" s="17" t="str">
        <f t="shared" si="0"/>
        <v> MVS 5.131 </v>
      </c>
      <c r="B16" s="6" t="str">
        <f t="shared" si="1"/>
        <v>I</v>
      </c>
      <c r="C16" s="17">
        <f t="shared" si="2"/>
        <v>36812.478000000003</v>
      </c>
      <c r="D16" s="19" t="str">
        <f t="shared" si="3"/>
        <v>vis</v>
      </c>
      <c r="E16" s="49">
        <f>VLOOKUP(C16,Active!C$21:E$973,3,FALSE)</f>
        <v>8139.8563336241741</v>
      </c>
      <c r="F16" s="6" t="s">
        <v>73</v>
      </c>
      <c r="G16" s="19" t="str">
        <f t="shared" si="4"/>
        <v>36812.478</v>
      </c>
      <c r="H16" s="17">
        <f t="shared" si="5"/>
        <v>8140</v>
      </c>
      <c r="I16" s="50" t="s">
        <v>94</v>
      </c>
      <c r="J16" s="51" t="s">
        <v>95</v>
      </c>
      <c r="K16" s="50">
        <v>8140</v>
      </c>
      <c r="L16" s="50" t="s">
        <v>96</v>
      </c>
      <c r="M16" s="51" t="s">
        <v>79</v>
      </c>
      <c r="N16" s="51"/>
      <c r="O16" s="52" t="s">
        <v>80</v>
      </c>
      <c r="P16" s="52" t="s">
        <v>81</v>
      </c>
    </row>
    <row r="17" spans="1:16" ht="12.75" customHeight="1" thickBot="1" x14ac:dyDescent="0.25">
      <c r="A17" s="17" t="str">
        <f t="shared" si="0"/>
        <v> MVS 5.131 </v>
      </c>
      <c r="B17" s="6" t="str">
        <f t="shared" si="1"/>
        <v>I</v>
      </c>
      <c r="C17" s="17">
        <f t="shared" si="2"/>
        <v>36839.406000000003</v>
      </c>
      <c r="D17" s="19" t="str">
        <f t="shared" si="3"/>
        <v>vis</v>
      </c>
      <c r="E17" s="49">
        <f>VLOOKUP(C17,Active!C$21:E$973,3,FALSE)</f>
        <v>8169.812983530368</v>
      </c>
      <c r="F17" s="6" t="s">
        <v>73</v>
      </c>
      <c r="G17" s="19" t="str">
        <f t="shared" si="4"/>
        <v>36839.406</v>
      </c>
      <c r="H17" s="17">
        <f t="shared" si="5"/>
        <v>8170</v>
      </c>
      <c r="I17" s="50" t="s">
        <v>97</v>
      </c>
      <c r="J17" s="51" t="s">
        <v>98</v>
      </c>
      <c r="K17" s="50">
        <v>8170</v>
      </c>
      <c r="L17" s="50" t="s">
        <v>99</v>
      </c>
      <c r="M17" s="51" t="s">
        <v>79</v>
      </c>
      <c r="N17" s="51"/>
      <c r="O17" s="52" t="s">
        <v>80</v>
      </c>
      <c r="P17" s="52" t="s">
        <v>81</v>
      </c>
    </row>
    <row r="18" spans="1:16" ht="12.75" customHeight="1" thickBot="1" x14ac:dyDescent="0.25">
      <c r="A18" s="17" t="str">
        <f t="shared" si="0"/>
        <v> MVS 5.131 </v>
      </c>
      <c r="B18" s="6" t="str">
        <f t="shared" si="1"/>
        <v>II</v>
      </c>
      <c r="C18" s="17">
        <f t="shared" si="2"/>
        <v>38237.599999999999</v>
      </c>
      <c r="D18" s="19" t="str">
        <f t="shared" si="3"/>
        <v>vis</v>
      </c>
      <c r="E18" s="49">
        <f>VLOOKUP(C18,Active!C$21:E$973,3,FALSE)</f>
        <v>9725.2648610905726</v>
      </c>
      <c r="F18" s="6" t="s">
        <v>73</v>
      </c>
      <c r="G18" s="19" t="str">
        <f t="shared" si="4"/>
        <v>38237.600</v>
      </c>
      <c r="H18" s="17">
        <f t="shared" si="5"/>
        <v>9725.5</v>
      </c>
      <c r="I18" s="50" t="s">
        <v>100</v>
      </c>
      <c r="J18" s="51" t="s">
        <v>101</v>
      </c>
      <c r="K18" s="50">
        <v>9725.5</v>
      </c>
      <c r="L18" s="50" t="s">
        <v>102</v>
      </c>
      <c r="M18" s="51" t="s">
        <v>79</v>
      </c>
      <c r="N18" s="51"/>
      <c r="O18" s="52" t="s">
        <v>80</v>
      </c>
      <c r="P18" s="52" t="s">
        <v>81</v>
      </c>
    </row>
    <row r="19" spans="1:16" ht="12.75" customHeight="1" thickBot="1" x14ac:dyDescent="0.25">
      <c r="A19" s="17" t="str">
        <f t="shared" si="0"/>
        <v> MVS 5.131 </v>
      </c>
      <c r="B19" s="6" t="str">
        <f t="shared" si="1"/>
        <v>II</v>
      </c>
      <c r="C19" s="17">
        <f t="shared" si="2"/>
        <v>38238.54</v>
      </c>
      <c r="D19" s="19" t="str">
        <f t="shared" si="3"/>
        <v>vis</v>
      </c>
      <c r="E19" s="49">
        <f>VLOOKUP(C19,Active!C$21:E$973,3,FALSE)</f>
        <v>9726.3105849063741</v>
      </c>
      <c r="F19" s="6" t="s">
        <v>73</v>
      </c>
      <c r="G19" s="19" t="str">
        <f t="shared" si="4"/>
        <v>38238.540</v>
      </c>
      <c r="H19" s="17">
        <f t="shared" si="5"/>
        <v>9726.5</v>
      </c>
      <c r="I19" s="50" t="s">
        <v>103</v>
      </c>
      <c r="J19" s="51" t="s">
        <v>104</v>
      </c>
      <c r="K19" s="50">
        <v>9726.5</v>
      </c>
      <c r="L19" s="50" t="s">
        <v>105</v>
      </c>
      <c r="M19" s="51" t="s">
        <v>79</v>
      </c>
      <c r="N19" s="51"/>
      <c r="O19" s="52" t="s">
        <v>80</v>
      </c>
      <c r="P19" s="52" t="s">
        <v>81</v>
      </c>
    </row>
    <row r="20" spans="1:16" ht="12.75" customHeight="1" thickBot="1" x14ac:dyDescent="0.25">
      <c r="A20" s="17" t="str">
        <f t="shared" si="0"/>
        <v> MVS 5.131 </v>
      </c>
      <c r="B20" s="6" t="str">
        <f t="shared" si="1"/>
        <v>II</v>
      </c>
      <c r="C20" s="17">
        <f t="shared" si="2"/>
        <v>38239.42</v>
      </c>
      <c r="D20" s="19" t="str">
        <f t="shared" si="3"/>
        <v>vis</v>
      </c>
      <c r="E20" s="49">
        <f>VLOOKUP(C20,Active!C$21:E$973,3,FALSE)</f>
        <v>9727.2895603935012</v>
      </c>
      <c r="F20" s="6" t="s">
        <v>73</v>
      </c>
      <c r="G20" s="19" t="str">
        <f t="shared" si="4"/>
        <v>38239.420</v>
      </c>
      <c r="H20" s="17">
        <f t="shared" si="5"/>
        <v>9727.5</v>
      </c>
      <c r="I20" s="50" t="s">
        <v>106</v>
      </c>
      <c r="J20" s="51" t="s">
        <v>107</v>
      </c>
      <c r="K20" s="50">
        <v>9727.5</v>
      </c>
      <c r="L20" s="50" t="s">
        <v>108</v>
      </c>
      <c r="M20" s="51" t="s">
        <v>79</v>
      </c>
      <c r="N20" s="51"/>
      <c r="O20" s="52" t="s">
        <v>80</v>
      </c>
      <c r="P20" s="52" t="s">
        <v>81</v>
      </c>
    </row>
    <row r="21" spans="1:16" ht="12.75" customHeight="1" thickBot="1" x14ac:dyDescent="0.25">
      <c r="A21" s="17" t="str">
        <f t="shared" si="0"/>
        <v> MVS 5.132 </v>
      </c>
      <c r="B21" s="6" t="str">
        <f t="shared" si="1"/>
        <v>I</v>
      </c>
      <c r="C21" s="17">
        <f t="shared" si="2"/>
        <v>38242.519999999997</v>
      </c>
      <c r="D21" s="19" t="str">
        <f t="shared" si="3"/>
        <v>vis</v>
      </c>
      <c r="E21" s="49">
        <f>VLOOKUP(C21,Active!C$21:E$973,3,FALSE)</f>
        <v>9730.7382240413463</v>
      </c>
      <c r="F21" s="6" t="s">
        <v>73</v>
      </c>
      <c r="G21" s="19" t="str">
        <f t="shared" si="4"/>
        <v>38242.520</v>
      </c>
      <c r="H21" s="17">
        <f t="shared" si="5"/>
        <v>9731</v>
      </c>
      <c r="I21" s="50" t="s">
        <v>109</v>
      </c>
      <c r="J21" s="51" t="s">
        <v>110</v>
      </c>
      <c r="K21" s="50">
        <v>9731</v>
      </c>
      <c r="L21" s="50" t="s">
        <v>111</v>
      </c>
      <c r="M21" s="51" t="s">
        <v>79</v>
      </c>
      <c r="N21" s="51"/>
      <c r="O21" s="52" t="s">
        <v>80</v>
      </c>
      <c r="P21" s="52" t="s">
        <v>112</v>
      </c>
    </row>
    <row r="22" spans="1:16" ht="12.75" customHeight="1" thickBot="1" x14ac:dyDescent="0.25">
      <c r="A22" s="17" t="str">
        <f t="shared" si="0"/>
        <v> MVS 5.132 </v>
      </c>
      <c r="B22" s="6" t="str">
        <f t="shared" si="1"/>
        <v>I</v>
      </c>
      <c r="C22" s="17">
        <f t="shared" si="2"/>
        <v>38243.466999999997</v>
      </c>
      <c r="D22" s="19" t="str">
        <f t="shared" si="3"/>
        <v>vis</v>
      </c>
      <c r="E22" s="49">
        <f>VLOOKUP(C22,Active!C$21:E$973,3,FALSE)</f>
        <v>9731.7917351621545</v>
      </c>
      <c r="F22" s="6" t="s">
        <v>73</v>
      </c>
      <c r="G22" s="19" t="str">
        <f t="shared" si="4"/>
        <v>38243.467</v>
      </c>
      <c r="H22" s="17">
        <f t="shared" si="5"/>
        <v>9732</v>
      </c>
      <c r="I22" s="50" t="s">
        <v>113</v>
      </c>
      <c r="J22" s="51" t="s">
        <v>114</v>
      </c>
      <c r="K22" s="50">
        <v>9732</v>
      </c>
      <c r="L22" s="50" t="s">
        <v>75</v>
      </c>
      <c r="M22" s="51" t="s">
        <v>79</v>
      </c>
      <c r="N22" s="51"/>
      <c r="O22" s="52" t="s">
        <v>80</v>
      </c>
      <c r="P22" s="52" t="s">
        <v>112</v>
      </c>
    </row>
    <row r="23" spans="1:16" ht="12.75" customHeight="1" thickBot="1" x14ac:dyDescent="0.25">
      <c r="A23" s="17" t="str">
        <f t="shared" si="0"/>
        <v> MVS 5.132 </v>
      </c>
      <c r="B23" s="6" t="str">
        <f t="shared" si="1"/>
        <v>I</v>
      </c>
      <c r="C23" s="17">
        <f t="shared" si="2"/>
        <v>38268.6</v>
      </c>
      <c r="D23" s="19" t="str">
        <f t="shared" si="3"/>
        <v>vis</v>
      </c>
      <c r="E23" s="49">
        <f>VLOOKUP(C23,Active!C$21:E$973,3,FALSE)</f>
        <v>9759.7514975690337</v>
      </c>
      <c r="F23" s="6" t="s">
        <v>73</v>
      </c>
      <c r="G23" s="19" t="str">
        <f t="shared" si="4"/>
        <v>38268.600</v>
      </c>
      <c r="H23" s="17">
        <f t="shared" si="5"/>
        <v>9760</v>
      </c>
      <c r="I23" s="50" t="s">
        <v>115</v>
      </c>
      <c r="J23" s="51" t="s">
        <v>116</v>
      </c>
      <c r="K23" s="50">
        <v>9760</v>
      </c>
      <c r="L23" s="50" t="s">
        <v>117</v>
      </c>
      <c r="M23" s="51" t="s">
        <v>79</v>
      </c>
      <c r="N23" s="51"/>
      <c r="O23" s="52" t="s">
        <v>80</v>
      </c>
      <c r="P23" s="52" t="s">
        <v>112</v>
      </c>
    </row>
    <row r="24" spans="1:16" ht="12.75" customHeight="1" thickBot="1" x14ac:dyDescent="0.25">
      <c r="A24" s="17" t="str">
        <f t="shared" si="0"/>
        <v> MVS 5.132 </v>
      </c>
      <c r="B24" s="6" t="str">
        <f t="shared" si="1"/>
        <v>II</v>
      </c>
      <c r="C24" s="17">
        <f t="shared" si="2"/>
        <v>38284.370000000003</v>
      </c>
      <c r="D24" s="19" t="str">
        <f t="shared" si="3"/>
        <v>vis</v>
      </c>
      <c r="E24" s="49">
        <f>VLOOKUP(C24,Active!C$21:E$973,3,FALSE)</f>
        <v>9777.295183287275</v>
      </c>
      <c r="F24" s="6" t="s">
        <v>73</v>
      </c>
      <c r="G24" s="19" t="str">
        <f t="shared" si="4"/>
        <v>38284.370</v>
      </c>
      <c r="H24" s="17">
        <f t="shared" si="5"/>
        <v>9777.5</v>
      </c>
      <c r="I24" s="50" t="s">
        <v>118</v>
      </c>
      <c r="J24" s="51" t="s">
        <v>119</v>
      </c>
      <c r="K24" s="50">
        <v>9777.5</v>
      </c>
      <c r="L24" s="50" t="s">
        <v>120</v>
      </c>
      <c r="M24" s="51" t="s">
        <v>79</v>
      </c>
      <c r="N24" s="51"/>
      <c r="O24" s="52" t="s">
        <v>80</v>
      </c>
      <c r="P24" s="52" t="s">
        <v>112</v>
      </c>
    </row>
    <row r="25" spans="1:16" ht="12.75" customHeight="1" thickBot="1" x14ac:dyDescent="0.25">
      <c r="A25" s="17" t="str">
        <f t="shared" si="0"/>
        <v> MVS 5.132 </v>
      </c>
      <c r="B25" s="6" t="str">
        <f t="shared" si="1"/>
        <v>I</v>
      </c>
      <c r="C25" s="17">
        <f t="shared" si="2"/>
        <v>38287.449999999997</v>
      </c>
      <c r="D25" s="19" t="str">
        <f t="shared" si="3"/>
        <v>vis</v>
      </c>
      <c r="E25" s="49">
        <f>VLOOKUP(C25,Active!C$21:E$973,3,FALSE)</f>
        <v>9780.7215974922256</v>
      </c>
      <c r="F25" s="6" t="s">
        <v>73</v>
      </c>
      <c r="G25" s="19" t="str">
        <f t="shared" si="4"/>
        <v>38287.450</v>
      </c>
      <c r="H25" s="17">
        <f t="shared" si="5"/>
        <v>9781</v>
      </c>
      <c r="I25" s="50" t="s">
        <v>121</v>
      </c>
      <c r="J25" s="51" t="s">
        <v>122</v>
      </c>
      <c r="K25" s="50">
        <v>9781</v>
      </c>
      <c r="L25" s="50" t="s">
        <v>123</v>
      </c>
      <c r="M25" s="51" t="s">
        <v>79</v>
      </c>
      <c r="N25" s="51"/>
      <c r="O25" s="52" t="s">
        <v>80</v>
      </c>
      <c r="P25" s="52" t="s">
        <v>112</v>
      </c>
    </row>
    <row r="26" spans="1:16" ht="12.75" customHeight="1" thickBot="1" x14ac:dyDescent="0.25">
      <c r="A26" s="17" t="str">
        <f t="shared" si="0"/>
        <v> MVS 5.132 </v>
      </c>
      <c r="B26" s="6" t="str">
        <f t="shared" si="1"/>
        <v>II</v>
      </c>
      <c r="C26" s="17">
        <f t="shared" si="2"/>
        <v>38311.339999999997</v>
      </c>
      <c r="D26" s="19" t="str">
        <f t="shared" si="3"/>
        <v>vis</v>
      </c>
      <c r="E26" s="49">
        <f>VLOOKUP(C26,Active!C$21:E$973,3,FALSE)</f>
        <v>9807.2985570235305</v>
      </c>
      <c r="F26" s="6" t="s">
        <v>73</v>
      </c>
      <c r="G26" s="19" t="str">
        <f t="shared" si="4"/>
        <v>38311.340</v>
      </c>
      <c r="H26" s="17">
        <f t="shared" si="5"/>
        <v>9807.5</v>
      </c>
      <c r="I26" s="50" t="s">
        <v>124</v>
      </c>
      <c r="J26" s="51" t="s">
        <v>125</v>
      </c>
      <c r="K26" s="50">
        <v>9807.5</v>
      </c>
      <c r="L26" s="50" t="s">
        <v>126</v>
      </c>
      <c r="M26" s="51" t="s">
        <v>79</v>
      </c>
      <c r="N26" s="51"/>
      <c r="O26" s="52" t="s">
        <v>80</v>
      </c>
      <c r="P26" s="52" t="s">
        <v>112</v>
      </c>
    </row>
    <row r="27" spans="1:16" ht="12.75" customHeight="1" thickBot="1" x14ac:dyDescent="0.25">
      <c r="A27" s="17" t="str">
        <f t="shared" si="0"/>
        <v> MVS 5.132 </v>
      </c>
      <c r="B27" s="6" t="str">
        <f t="shared" si="1"/>
        <v>I</v>
      </c>
      <c r="C27" s="17">
        <f t="shared" si="2"/>
        <v>38315.440000000002</v>
      </c>
      <c r="D27" s="19" t="str">
        <f t="shared" si="3"/>
        <v>vis</v>
      </c>
      <c r="E27" s="49">
        <f>VLOOKUP(C27,Active!C$21:E$973,3,FALSE)</f>
        <v>9811.8596928158495</v>
      </c>
      <c r="F27" s="6" t="s">
        <v>73</v>
      </c>
      <c r="G27" s="19" t="str">
        <f t="shared" si="4"/>
        <v>38315.440</v>
      </c>
      <c r="H27" s="17">
        <f t="shared" si="5"/>
        <v>9812</v>
      </c>
      <c r="I27" s="50" t="s">
        <v>127</v>
      </c>
      <c r="J27" s="51" t="s">
        <v>128</v>
      </c>
      <c r="K27" s="50">
        <v>9812</v>
      </c>
      <c r="L27" s="50" t="s">
        <v>129</v>
      </c>
      <c r="M27" s="51" t="s">
        <v>79</v>
      </c>
      <c r="N27" s="51"/>
      <c r="O27" s="52" t="s">
        <v>80</v>
      </c>
      <c r="P27" s="52" t="s">
        <v>112</v>
      </c>
    </row>
    <row r="28" spans="1:16" ht="12.75" customHeight="1" thickBot="1" x14ac:dyDescent="0.25">
      <c r="A28" s="17" t="str">
        <f t="shared" si="0"/>
        <v> MVS 5.132 </v>
      </c>
      <c r="B28" s="6" t="str">
        <f t="shared" si="1"/>
        <v>I</v>
      </c>
      <c r="C28" s="17">
        <f t="shared" si="2"/>
        <v>38616.51</v>
      </c>
      <c r="D28" s="19" t="str">
        <f t="shared" si="3"/>
        <v>vis</v>
      </c>
      <c r="E28" s="49">
        <f>VLOOKUP(C28,Active!C$21:E$973,3,FALSE)</f>
        <v>10146.791681350382</v>
      </c>
      <c r="F28" s="6" t="s">
        <v>73</v>
      </c>
      <c r="G28" s="19" t="str">
        <f t="shared" si="4"/>
        <v>38616.510</v>
      </c>
      <c r="H28" s="17">
        <f t="shared" si="5"/>
        <v>10147</v>
      </c>
      <c r="I28" s="50" t="s">
        <v>130</v>
      </c>
      <c r="J28" s="51" t="s">
        <v>131</v>
      </c>
      <c r="K28" s="50">
        <v>10147</v>
      </c>
      <c r="L28" s="50" t="s">
        <v>132</v>
      </c>
      <c r="M28" s="51" t="s">
        <v>79</v>
      </c>
      <c r="N28" s="51"/>
      <c r="O28" s="52" t="s">
        <v>80</v>
      </c>
      <c r="P28" s="52" t="s">
        <v>112</v>
      </c>
    </row>
    <row r="29" spans="1:16" ht="12.75" customHeight="1" thickBot="1" x14ac:dyDescent="0.25">
      <c r="A29" s="17" t="str">
        <f t="shared" si="0"/>
        <v> MVS 5.132 </v>
      </c>
      <c r="B29" s="6" t="str">
        <f t="shared" si="1"/>
        <v>II</v>
      </c>
      <c r="C29" s="17">
        <f t="shared" si="2"/>
        <v>38640.28</v>
      </c>
      <c r="D29" s="19" t="str">
        <f t="shared" si="3"/>
        <v>vis</v>
      </c>
      <c r="E29" s="49">
        <f>VLOOKUP(C29,Active!C$21:E$973,3,FALSE)</f>
        <v>10173.235144224347</v>
      </c>
      <c r="F29" s="6" t="s">
        <v>73</v>
      </c>
      <c r="G29" s="19" t="str">
        <f t="shared" si="4"/>
        <v>38640.280</v>
      </c>
      <c r="H29" s="17">
        <f t="shared" si="5"/>
        <v>10173.5</v>
      </c>
      <c r="I29" s="50" t="s">
        <v>133</v>
      </c>
      <c r="J29" s="51" t="s">
        <v>134</v>
      </c>
      <c r="K29" s="50">
        <v>10173.5</v>
      </c>
      <c r="L29" s="50" t="s">
        <v>135</v>
      </c>
      <c r="M29" s="51" t="s">
        <v>79</v>
      </c>
      <c r="N29" s="51"/>
      <c r="O29" s="52" t="s">
        <v>80</v>
      </c>
      <c r="P29" s="52" t="s">
        <v>112</v>
      </c>
    </row>
    <row r="30" spans="1:16" ht="12.75" customHeight="1" thickBot="1" x14ac:dyDescent="0.25">
      <c r="A30" s="17" t="str">
        <f t="shared" si="0"/>
        <v> MVS 5.132 </v>
      </c>
      <c r="B30" s="6" t="str">
        <f t="shared" si="1"/>
        <v>I</v>
      </c>
      <c r="C30" s="17">
        <f t="shared" si="2"/>
        <v>38651.57</v>
      </c>
      <c r="D30" s="19" t="str">
        <f t="shared" si="3"/>
        <v>vis</v>
      </c>
      <c r="E30" s="49">
        <f>VLOOKUP(C30,Active!C$21:E$973,3,FALSE)</f>
        <v>10185.794954735375</v>
      </c>
      <c r="F30" s="6" t="s">
        <v>73</v>
      </c>
      <c r="G30" s="19" t="str">
        <f t="shared" si="4"/>
        <v>38651.570</v>
      </c>
      <c r="H30" s="17">
        <f t="shared" si="5"/>
        <v>10186</v>
      </c>
      <c r="I30" s="50" t="s">
        <v>136</v>
      </c>
      <c r="J30" s="51" t="s">
        <v>137</v>
      </c>
      <c r="K30" s="50">
        <v>10186</v>
      </c>
      <c r="L30" s="50" t="s">
        <v>138</v>
      </c>
      <c r="M30" s="51" t="s">
        <v>79</v>
      </c>
      <c r="N30" s="51"/>
      <c r="O30" s="52" t="s">
        <v>80</v>
      </c>
      <c r="P30" s="52" t="s">
        <v>112</v>
      </c>
    </row>
    <row r="31" spans="1:16" ht="12.75" customHeight="1" thickBot="1" x14ac:dyDescent="0.25">
      <c r="A31" s="17" t="str">
        <f t="shared" si="0"/>
        <v> MVS 5.132 </v>
      </c>
      <c r="B31" s="6" t="str">
        <f t="shared" si="1"/>
        <v>I</v>
      </c>
      <c r="C31" s="17">
        <f t="shared" si="2"/>
        <v>38652.44</v>
      </c>
      <c r="D31" s="19" t="str">
        <f t="shared" si="3"/>
        <v>vis</v>
      </c>
      <c r="E31" s="49">
        <f>VLOOKUP(C31,Active!C$21:E$973,3,FALSE)</f>
        <v>10186.762805501065</v>
      </c>
      <c r="F31" s="6" t="s">
        <v>73</v>
      </c>
      <c r="G31" s="19" t="str">
        <f t="shared" si="4"/>
        <v>38652.440</v>
      </c>
      <c r="H31" s="17">
        <f t="shared" si="5"/>
        <v>10187</v>
      </c>
      <c r="I31" s="50" t="s">
        <v>139</v>
      </c>
      <c r="J31" s="51" t="s">
        <v>140</v>
      </c>
      <c r="K31" s="50">
        <v>10187</v>
      </c>
      <c r="L31" s="50" t="s">
        <v>141</v>
      </c>
      <c r="M31" s="51" t="s">
        <v>79</v>
      </c>
      <c r="N31" s="51"/>
      <c r="O31" s="52" t="s">
        <v>80</v>
      </c>
      <c r="P31" s="52" t="s">
        <v>112</v>
      </c>
    </row>
    <row r="32" spans="1:16" ht="12.75" customHeight="1" thickBot="1" x14ac:dyDescent="0.25">
      <c r="A32" s="17" t="str">
        <f t="shared" si="0"/>
        <v> MVS 5.132 </v>
      </c>
      <c r="B32" s="6" t="str">
        <f t="shared" si="1"/>
        <v>I</v>
      </c>
      <c r="C32" s="17">
        <f t="shared" si="2"/>
        <v>38998.481</v>
      </c>
      <c r="D32" s="19" t="str">
        <f t="shared" si="3"/>
        <v>vis</v>
      </c>
      <c r="E32" s="49">
        <f>VLOOKUP(C32,Active!C$21:E$973,3,FALSE)</f>
        <v>10571.723778844396</v>
      </c>
      <c r="F32" s="6" t="s">
        <v>73</v>
      </c>
      <c r="G32" s="19" t="str">
        <f t="shared" si="4"/>
        <v>38998.481</v>
      </c>
      <c r="H32" s="17">
        <f t="shared" si="5"/>
        <v>10572</v>
      </c>
      <c r="I32" s="50" t="s">
        <v>142</v>
      </c>
      <c r="J32" s="51" t="s">
        <v>143</v>
      </c>
      <c r="K32" s="50">
        <v>10572</v>
      </c>
      <c r="L32" s="50" t="s">
        <v>144</v>
      </c>
      <c r="M32" s="51" t="s">
        <v>79</v>
      </c>
      <c r="N32" s="51"/>
      <c r="O32" s="52" t="s">
        <v>80</v>
      </c>
      <c r="P32" s="52" t="s">
        <v>112</v>
      </c>
    </row>
    <row r="33" spans="1:16" ht="12.75" customHeight="1" thickBot="1" x14ac:dyDescent="0.25">
      <c r="A33" s="17" t="str">
        <f t="shared" si="0"/>
        <v> MVS 5.132 </v>
      </c>
      <c r="B33" s="6" t="str">
        <f t="shared" si="1"/>
        <v>I</v>
      </c>
      <c r="C33" s="17">
        <f t="shared" si="2"/>
        <v>39053.389000000003</v>
      </c>
      <c r="D33" s="19" t="str">
        <f t="shared" si="3"/>
        <v>vis</v>
      </c>
      <c r="E33" s="49">
        <f>VLOOKUP(C33,Active!C$21:E$973,3,FALSE)</f>
        <v>10632.807399352767</v>
      </c>
      <c r="F33" s="6" t="s">
        <v>73</v>
      </c>
      <c r="G33" s="19" t="str">
        <f t="shared" si="4"/>
        <v>39053.389</v>
      </c>
      <c r="H33" s="17">
        <f t="shared" si="5"/>
        <v>10633</v>
      </c>
      <c r="I33" s="50" t="s">
        <v>145</v>
      </c>
      <c r="J33" s="51" t="s">
        <v>146</v>
      </c>
      <c r="K33" s="50">
        <v>10633</v>
      </c>
      <c r="L33" s="50" t="s">
        <v>147</v>
      </c>
      <c r="M33" s="51" t="s">
        <v>79</v>
      </c>
      <c r="N33" s="51"/>
      <c r="O33" s="52" t="s">
        <v>80</v>
      </c>
      <c r="P33" s="52" t="s">
        <v>112</v>
      </c>
    </row>
    <row r="34" spans="1:16" ht="12.75" customHeight="1" thickBot="1" x14ac:dyDescent="0.25">
      <c r="A34" s="17" t="str">
        <f t="shared" si="0"/>
        <v> MVS 5.132 </v>
      </c>
      <c r="B34" s="6" t="str">
        <f t="shared" si="1"/>
        <v>I</v>
      </c>
      <c r="C34" s="17">
        <f t="shared" si="2"/>
        <v>39142.305999999997</v>
      </c>
      <c r="D34" s="19" t="str">
        <f t="shared" si="3"/>
        <v>vis</v>
      </c>
      <c r="E34" s="49">
        <f>VLOOKUP(C34,Active!C$21:E$973,3,FALSE)</f>
        <v>10731.72508502229</v>
      </c>
      <c r="F34" s="6" t="s">
        <v>73</v>
      </c>
      <c r="G34" s="19" t="str">
        <f t="shared" si="4"/>
        <v>39142.306</v>
      </c>
      <c r="H34" s="17">
        <f t="shared" si="5"/>
        <v>10732</v>
      </c>
      <c r="I34" s="50" t="s">
        <v>148</v>
      </c>
      <c r="J34" s="51" t="s">
        <v>149</v>
      </c>
      <c r="K34" s="50">
        <v>10732</v>
      </c>
      <c r="L34" s="50" t="s">
        <v>150</v>
      </c>
      <c r="M34" s="51" t="s">
        <v>79</v>
      </c>
      <c r="N34" s="51"/>
      <c r="O34" s="52" t="s">
        <v>80</v>
      </c>
      <c r="P34" s="52" t="s">
        <v>112</v>
      </c>
    </row>
    <row r="35" spans="1:16" ht="12.75" customHeight="1" thickBot="1" x14ac:dyDescent="0.25">
      <c r="A35" s="17" t="str">
        <f t="shared" si="0"/>
        <v> MVS 5.132 </v>
      </c>
      <c r="B35" s="6" t="str">
        <f t="shared" si="1"/>
        <v>I</v>
      </c>
      <c r="C35" s="17">
        <f t="shared" si="2"/>
        <v>39381.462</v>
      </c>
      <c r="D35" s="19" t="str">
        <f t="shared" si="3"/>
        <v>vis</v>
      </c>
      <c r="E35" s="49">
        <f>VLOOKUP(C35,Active!C$21:E$973,3,FALSE)</f>
        <v>10997.779473204326</v>
      </c>
      <c r="F35" s="6" t="s">
        <v>73</v>
      </c>
      <c r="G35" s="19" t="str">
        <f t="shared" si="4"/>
        <v>39381.462</v>
      </c>
      <c r="H35" s="17">
        <f t="shared" si="5"/>
        <v>10998</v>
      </c>
      <c r="I35" s="50" t="s">
        <v>151</v>
      </c>
      <c r="J35" s="51" t="s">
        <v>152</v>
      </c>
      <c r="K35" s="50">
        <v>10998</v>
      </c>
      <c r="L35" s="50" t="s">
        <v>153</v>
      </c>
      <c r="M35" s="51" t="s">
        <v>79</v>
      </c>
      <c r="N35" s="51"/>
      <c r="O35" s="52" t="s">
        <v>80</v>
      </c>
      <c r="P35" s="52" t="s">
        <v>112</v>
      </c>
    </row>
    <row r="36" spans="1:16" ht="12.75" customHeight="1" thickBot="1" x14ac:dyDescent="0.25">
      <c r="A36" s="17" t="str">
        <f t="shared" si="0"/>
        <v> MVS 5.132 </v>
      </c>
      <c r="B36" s="6" t="str">
        <f t="shared" si="1"/>
        <v>I</v>
      </c>
      <c r="C36" s="17">
        <f t="shared" si="2"/>
        <v>39390.478999999999</v>
      </c>
      <c r="D36" s="19" t="str">
        <f t="shared" si="3"/>
        <v>vis</v>
      </c>
      <c r="E36" s="49">
        <f>VLOOKUP(C36,Active!C$21:E$973,3,FALSE)</f>
        <v>11007.810634530979</v>
      </c>
      <c r="F36" s="6" t="s">
        <v>73</v>
      </c>
      <c r="G36" s="19" t="str">
        <f t="shared" si="4"/>
        <v>39390.479</v>
      </c>
      <c r="H36" s="17">
        <f t="shared" si="5"/>
        <v>11008</v>
      </c>
      <c r="I36" s="50" t="s">
        <v>154</v>
      </c>
      <c r="J36" s="51" t="s">
        <v>155</v>
      </c>
      <c r="K36" s="50">
        <v>11008</v>
      </c>
      <c r="L36" s="50" t="s">
        <v>156</v>
      </c>
      <c r="M36" s="51" t="s">
        <v>79</v>
      </c>
      <c r="N36" s="51"/>
      <c r="O36" s="52" t="s">
        <v>80</v>
      </c>
      <c r="P36" s="52" t="s">
        <v>112</v>
      </c>
    </row>
    <row r="37" spans="1:16" ht="12.75" customHeight="1" thickBot="1" x14ac:dyDescent="0.25">
      <c r="A37" s="17" t="str">
        <f t="shared" si="0"/>
        <v> MVS 5.132 </v>
      </c>
      <c r="B37" s="6" t="str">
        <f t="shared" si="1"/>
        <v>I</v>
      </c>
      <c r="C37" s="17">
        <f t="shared" si="2"/>
        <v>39533.281000000003</v>
      </c>
      <c r="D37" s="19" t="str">
        <f t="shared" si="3"/>
        <v>vis</v>
      </c>
      <c r="E37" s="49">
        <f>VLOOKUP(C37,Active!C$21:E$973,3,FALSE)</f>
        <v>11166.67388170509</v>
      </c>
      <c r="F37" s="6" t="s">
        <v>73</v>
      </c>
      <c r="G37" s="19" t="str">
        <f t="shared" si="4"/>
        <v>39533.281</v>
      </c>
      <c r="H37" s="17">
        <f t="shared" si="5"/>
        <v>11167</v>
      </c>
      <c r="I37" s="50" t="s">
        <v>157</v>
      </c>
      <c r="J37" s="51" t="s">
        <v>158</v>
      </c>
      <c r="K37" s="50">
        <v>11167</v>
      </c>
      <c r="L37" s="50" t="s">
        <v>159</v>
      </c>
      <c r="M37" s="51" t="s">
        <v>79</v>
      </c>
      <c r="N37" s="51"/>
      <c r="O37" s="52" t="s">
        <v>80</v>
      </c>
      <c r="P37" s="52" t="s">
        <v>112</v>
      </c>
    </row>
    <row r="38" spans="1:16" ht="12.75" customHeight="1" thickBot="1" x14ac:dyDescent="0.25">
      <c r="A38" s="17" t="str">
        <f t="shared" si="0"/>
        <v> MVS 5.132 </v>
      </c>
      <c r="B38" s="6" t="str">
        <f t="shared" si="1"/>
        <v>I</v>
      </c>
      <c r="C38" s="17">
        <f t="shared" si="2"/>
        <v>39593.553999999996</v>
      </c>
      <c r="D38" s="19" t="str">
        <f t="shared" si="3"/>
        <v>vis</v>
      </c>
      <c r="E38" s="49">
        <f>VLOOKUP(C38,Active!C$21:E$973,3,FALSE)</f>
        <v>11233.725915268513</v>
      </c>
      <c r="F38" s="6" t="s">
        <v>73</v>
      </c>
      <c r="G38" s="19" t="str">
        <f t="shared" si="4"/>
        <v>39593.554</v>
      </c>
      <c r="H38" s="17">
        <f t="shared" si="5"/>
        <v>11234</v>
      </c>
      <c r="I38" s="50" t="s">
        <v>160</v>
      </c>
      <c r="J38" s="51" t="s">
        <v>161</v>
      </c>
      <c r="K38" s="50">
        <v>11234</v>
      </c>
      <c r="L38" s="50" t="s">
        <v>162</v>
      </c>
      <c r="M38" s="51" t="s">
        <v>79</v>
      </c>
      <c r="N38" s="51"/>
      <c r="O38" s="52" t="s">
        <v>80</v>
      </c>
      <c r="P38" s="52" t="s">
        <v>112</v>
      </c>
    </row>
    <row r="39" spans="1:16" ht="12.75" customHeight="1" thickBot="1" x14ac:dyDescent="0.25">
      <c r="A39" s="17" t="str">
        <f t="shared" si="0"/>
        <v> MVS 5.132 </v>
      </c>
      <c r="B39" s="6" t="str">
        <f t="shared" si="1"/>
        <v>I</v>
      </c>
      <c r="C39" s="17">
        <f t="shared" si="2"/>
        <v>39611.565000000002</v>
      </c>
      <c r="D39" s="19" t="str">
        <f t="shared" si="3"/>
        <v>vis</v>
      </c>
      <c r="E39" s="49">
        <f>VLOOKUP(C39,Active!C$21:E$973,3,FALSE)</f>
        <v>11253.762651062507</v>
      </c>
      <c r="F39" s="6" t="s">
        <v>73</v>
      </c>
      <c r="G39" s="19" t="str">
        <f t="shared" si="4"/>
        <v>39611.565</v>
      </c>
      <c r="H39" s="17">
        <f t="shared" si="5"/>
        <v>11254</v>
      </c>
      <c r="I39" s="50" t="s">
        <v>163</v>
      </c>
      <c r="J39" s="51" t="s">
        <v>164</v>
      </c>
      <c r="K39" s="50">
        <v>11254</v>
      </c>
      <c r="L39" s="50" t="s">
        <v>165</v>
      </c>
      <c r="M39" s="51" t="s">
        <v>79</v>
      </c>
      <c r="N39" s="51"/>
      <c r="O39" s="52" t="s">
        <v>80</v>
      </c>
      <c r="P39" s="52" t="s">
        <v>112</v>
      </c>
    </row>
    <row r="40" spans="1:16" ht="12.75" customHeight="1" thickBot="1" x14ac:dyDescent="0.25">
      <c r="A40" s="17" t="str">
        <f t="shared" si="0"/>
        <v> MVS 5.132 </v>
      </c>
      <c r="B40" s="6" t="str">
        <f t="shared" si="1"/>
        <v>I</v>
      </c>
      <c r="C40" s="17">
        <f t="shared" si="2"/>
        <v>39683.489000000001</v>
      </c>
      <c r="D40" s="19" t="str">
        <f t="shared" si="3"/>
        <v>vis</v>
      </c>
      <c r="E40" s="49">
        <f>VLOOKUP(C40,Active!C$21:E$973,3,FALSE)</f>
        <v>11333.776097581114</v>
      </c>
      <c r="F40" s="6" t="s">
        <v>73</v>
      </c>
      <c r="G40" s="19" t="str">
        <f t="shared" si="4"/>
        <v>39683.489</v>
      </c>
      <c r="H40" s="17">
        <f t="shared" si="5"/>
        <v>11334</v>
      </c>
      <c r="I40" s="50" t="s">
        <v>166</v>
      </c>
      <c r="J40" s="51" t="s">
        <v>167</v>
      </c>
      <c r="K40" s="50">
        <v>11334</v>
      </c>
      <c r="L40" s="50" t="s">
        <v>168</v>
      </c>
      <c r="M40" s="51" t="s">
        <v>79</v>
      </c>
      <c r="N40" s="51"/>
      <c r="O40" s="52" t="s">
        <v>80</v>
      </c>
      <c r="P40" s="52" t="s">
        <v>112</v>
      </c>
    </row>
    <row r="41" spans="1:16" ht="12.75" customHeight="1" thickBot="1" x14ac:dyDescent="0.25">
      <c r="A41" s="17" t="str">
        <f t="shared" si="0"/>
        <v> MVS 5.132 </v>
      </c>
      <c r="B41" s="6" t="str">
        <f t="shared" si="1"/>
        <v>I</v>
      </c>
      <c r="C41" s="17">
        <f t="shared" si="2"/>
        <v>39701.442999999999</v>
      </c>
      <c r="D41" s="19" t="str">
        <f t="shared" si="3"/>
        <v>vis</v>
      </c>
      <c r="E41" s="49">
        <f>VLOOKUP(C41,Active!C$21:E$973,3,FALSE)</f>
        <v>11353.749422462864</v>
      </c>
      <c r="F41" s="6" t="s">
        <v>73</v>
      </c>
      <c r="G41" s="19" t="str">
        <f t="shared" si="4"/>
        <v>39701.443</v>
      </c>
      <c r="H41" s="17">
        <f t="shared" si="5"/>
        <v>11354</v>
      </c>
      <c r="I41" s="50" t="s">
        <v>169</v>
      </c>
      <c r="J41" s="51" t="s">
        <v>170</v>
      </c>
      <c r="K41" s="50">
        <v>11354</v>
      </c>
      <c r="L41" s="50" t="s">
        <v>171</v>
      </c>
      <c r="M41" s="51" t="s">
        <v>79</v>
      </c>
      <c r="N41" s="51"/>
      <c r="O41" s="52" t="s">
        <v>80</v>
      </c>
      <c r="P41" s="52" t="s">
        <v>112</v>
      </c>
    </row>
    <row r="42" spans="1:16" ht="12.75" customHeight="1" thickBot="1" x14ac:dyDescent="0.25">
      <c r="A42" s="17" t="str">
        <f t="shared" si="0"/>
        <v> MVS 5.132 </v>
      </c>
      <c r="B42" s="6" t="str">
        <f t="shared" si="1"/>
        <v>I</v>
      </c>
      <c r="C42" s="17">
        <f t="shared" si="2"/>
        <v>39827.349000000002</v>
      </c>
      <c r="D42" s="19" t="str">
        <f t="shared" si="3"/>
        <v>vis</v>
      </c>
      <c r="E42" s="49">
        <f>VLOOKUP(C42,Active!C$21:E$973,3,FALSE)</f>
        <v>11493.816340284067</v>
      </c>
      <c r="F42" s="6" t="s">
        <v>73</v>
      </c>
      <c r="G42" s="19" t="str">
        <f t="shared" si="4"/>
        <v>39827.349</v>
      </c>
      <c r="H42" s="17">
        <f t="shared" si="5"/>
        <v>11494</v>
      </c>
      <c r="I42" s="50" t="s">
        <v>172</v>
      </c>
      <c r="J42" s="51" t="s">
        <v>173</v>
      </c>
      <c r="K42" s="50">
        <v>11494</v>
      </c>
      <c r="L42" s="50" t="s">
        <v>174</v>
      </c>
      <c r="M42" s="51" t="s">
        <v>79</v>
      </c>
      <c r="N42" s="51"/>
      <c r="O42" s="52" t="s">
        <v>80</v>
      </c>
      <c r="P42" s="52" t="s">
        <v>112</v>
      </c>
    </row>
    <row r="43" spans="1:16" ht="12.75" customHeight="1" thickBot="1" x14ac:dyDescent="0.25">
      <c r="A43" s="17" t="str">
        <f t="shared" ref="A43:A68" si="6">P43</f>
        <v> MVS 5.132 </v>
      </c>
      <c r="B43" s="6" t="str">
        <f t="shared" ref="B43:B68" si="7">IF(H43=INT(H43),"I","II")</f>
        <v>I</v>
      </c>
      <c r="C43" s="17">
        <f t="shared" ref="C43:C68" si="8">1*G43</f>
        <v>40101.508999999998</v>
      </c>
      <c r="D43" s="19" t="str">
        <f t="shared" ref="D43:D68" si="9">VLOOKUP(F43,I$1:J$5,2,FALSE)</f>
        <v>vis</v>
      </c>
      <c r="E43" s="49">
        <f>VLOOKUP(C43,Active!C$21:E$973,3,FALSE)</f>
        <v>11798.811703411002</v>
      </c>
      <c r="F43" s="6" t="s">
        <v>73</v>
      </c>
      <c r="G43" s="19" t="str">
        <f t="shared" ref="G43:G68" si="10">MID(I43,3,LEN(I43)-3)</f>
        <v>40101.509</v>
      </c>
      <c r="H43" s="17">
        <f t="shared" ref="H43:H68" si="11">1*K43</f>
        <v>11799</v>
      </c>
      <c r="I43" s="50" t="s">
        <v>175</v>
      </c>
      <c r="J43" s="51" t="s">
        <v>176</v>
      </c>
      <c r="K43" s="50">
        <v>11799</v>
      </c>
      <c r="L43" s="50" t="s">
        <v>177</v>
      </c>
      <c r="M43" s="51" t="s">
        <v>79</v>
      </c>
      <c r="N43" s="51"/>
      <c r="O43" s="52" t="s">
        <v>80</v>
      </c>
      <c r="P43" s="52" t="s">
        <v>112</v>
      </c>
    </row>
    <row r="44" spans="1:16" ht="12.75" customHeight="1" thickBot="1" x14ac:dyDescent="0.25">
      <c r="A44" s="17" t="str">
        <f t="shared" si="6"/>
        <v> MVS 5.132 </v>
      </c>
      <c r="B44" s="6" t="str">
        <f t="shared" si="7"/>
        <v>I</v>
      </c>
      <c r="C44" s="17">
        <f t="shared" si="8"/>
        <v>40201.26</v>
      </c>
      <c r="D44" s="19" t="str">
        <f t="shared" si="9"/>
        <v>vis</v>
      </c>
      <c r="E44" s="49">
        <f>VLOOKUP(C44,Active!C$21:E$973,3,FALSE)</f>
        <v>11909.781912293685</v>
      </c>
      <c r="F44" s="6" t="s">
        <v>73</v>
      </c>
      <c r="G44" s="19" t="str">
        <f t="shared" si="10"/>
        <v>40201.260</v>
      </c>
      <c r="H44" s="17">
        <f t="shared" si="11"/>
        <v>11910</v>
      </c>
      <c r="I44" s="50" t="s">
        <v>178</v>
      </c>
      <c r="J44" s="51" t="s">
        <v>179</v>
      </c>
      <c r="K44" s="50">
        <v>11910</v>
      </c>
      <c r="L44" s="50" t="s">
        <v>180</v>
      </c>
      <c r="M44" s="51" t="s">
        <v>79</v>
      </c>
      <c r="N44" s="51"/>
      <c r="O44" s="52" t="s">
        <v>80</v>
      </c>
      <c r="P44" s="52" t="s">
        <v>112</v>
      </c>
    </row>
    <row r="45" spans="1:16" ht="12.75" customHeight="1" thickBot="1" x14ac:dyDescent="0.25">
      <c r="A45" s="17" t="str">
        <f t="shared" si="6"/>
        <v>BAVM 132 </v>
      </c>
      <c r="B45" s="6" t="str">
        <f t="shared" si="7"/>
        <v>II</v>
      </c>
      <c r="C45" s="17">
        <f t="shared" si="8"/>
        <v>49909.429700000001</v>
      </c>
      <c r="D45" s="19" t="str">
        <f t="shared" si="9"/>
        <v>vis</v>
      </c>
      <c r="E45" s="49">
        <f>VLOOKUP(C45,Active!C$21:E$973,3,FALSE)</f>
        <v>22709.85027729749</v>
      </c>
      <c r="F45" s="6" t="s">
        <v>73</v>
      </c>
      <c r="G45" s="19" t="str">
        <f t="shared" si="10"/>
        <v>49909.4297</v>
      </c>
      <c r="H45" s="17">
        <f t="shared" si="11"/>
        <v>22710.5</v>
      </c>
      <c r="I45" s="50" t="s">
        <v>181</v>
      </c>
      <c r="J45" s="51" t="s">
        <v>182</v>
      </c>
      <c r="K45" s="50">
        <v>22710.5</v>
      </c>
      <c r="L45" s="50" t="s">
        <v>183</v>
      </c>
      <c r="M45" s="51" t="s">
        <v>184</v>
      </c>
      <c r="N45" s="51" t="s">
        <v>185</v>
      </c>
      <c r="O45" s="52" t="s">
        <v>186</v>
      </c>
      <c r="P45" s="53" t="s">
        <v>187</v>
      </c>
    </row>
    <row r="46" spans="1:16" ht="12.75" customHeight="1" thickBot="1" x14ac:dyDescent="0.25">
      <c r="A46" s="17" t="str">
        <f t="shared" si="6"/>
        <v>BAVM 132 </v>
      </c>
      <c r="B46" s="6" t="str">
        <f t="shared" si="7"/>
        <v>I</v>
      </c>
      <c r="C46" s="17">
        <f t="shared" si="8"/>
        <v>49912.5798</v>
      </c>
      <c r="D46" s="19" t="str">
        <f t="shared" si="9"/>
        <v>vis</v>
      </c>
      <c r="E46" s="49">
        <f>VLOOKUP(C46,Active!C$21:E$973,3,FALSE)</f>
        <v>22713.354675799772</v>
      </c>
      <c r="F46" s="6" t="s">
        <v>73</v>
      </c>
      <c r="G46" s="19" t="str">
        <f t="shared" si="10"/>
        <v>49912.5798</v>
      </c>
      <c r="H46" s="17">
        <f t="shared" si="11"/>
        <v>22714</v>
      </c>
      <c r="I46" s="50" t="s">
        <v>188</v>
      </c>
      <c r="J46" s="51" t="s">
        <v>189</v>
      </c>
      <c r="K46" s="50">
        <v>22714</v>
      </c>
      <c r="L46" s="50" t="s">
        <v>190</v>
      </c>
      <c r="M46" s="51" t="s">
        <v>184</v>
      </c>
      <c r="N46" s="51" t="s">
        <v>185</v>
      </c>
      <c r="O46" s="52" t="s">
        <v>186</v>
      </c>
      <c r="P46" s="53" t="s">
        <v>187</v>
      </c>
    </row>
    <row r="47" spans="1:16" ht="12.75" customHeight="1" thickBot="1" x14ac:dyDescent="0.25">
      <c r="A47" s="17" t="str">
        <f t="shared" si="6"/>
        <v>BAVM 132 </v>
      </c>
      <c r="B47" s="6" t="str">
        <f t="shared" si="7"/>
        <v>II</v>
      </c>
      <c r="C47" s="17">
        <f t="shared" si="8"/>
        <v>49918.422400000003</v>
      </c>
      <c r="D47" s="19" t="str">
        <f t="shared" si="9"/>
        <v>vis</v>
      </c>
      <c r="E47" s="49">
        <f>VLOOKUP(C47,Active!C$21:E$973,3,FALSE)</f>
        <v>22719.854405551036</v>
      </c>
      <c r="F47" s="6" t="s">
        <v>73</v>
      </c>
      <c r="G47" s="19" t="str">
        <f t="shared" si="10"/>
        <v>49918.4224</v>
      </c>
      <c r="H47" s="17">
        <f t="shared" si="11"/>
        <v>22720.5</v>
      </c>
      <c r="I47" s="50" t="s">
        <v>191</v>
      </c>
      <c r="J47" s="51" t="s">
        <v>192</v>
      </c>
      <c r="K47" s="50">
        <v>22720.5</v>
      </c>
      <c r="L47" s="50" t="s">
        <v>193</v>
      </c>
      <c r="M47" s="51" t="s">
        <v>184</v>
      </c>
      <c r="N47" s="51" t="s">
        <v>185</v>
      </c>
      <c r="O47" s="52" t="s">
        <v>186</v>
      </c>
      <c r="P47" s="53" t="s">
        <v>187</v>
      </c>
    </row>
    <row r="48" spans="1:16" ht="12.75" customHeight="1" thickBot="1" x14ac:dyDescent="0.25">
      <c r="A48" s="17" t="str">
        <f t="shared" si="6"/>
        <v>BAVM 132 </v>
      </c>
      <c r="B48" s="6" t="str">
        <f t="shared" si="7"/>
        <v>II</v>
      </c>
      <c r="C48" s="17">
        <f t="shared" si="8"/>
        <v>49928.309000000001</v>
      </c>
      <c r="D48" s="19" t="str">
        <f t="shared" si="9"/>
        <v>vis</v>
      </c>
      <c r="E48" s="49">
        <f>VLOOKUP(C48,Active!C$21:E$973,3,FALSE)</f>
        <v>22730.852972654517</v>
      </c>
      <c r="F48" s="6" t="s">
        <v>73</v>
      </c>
      <c r="G48" s="19" t="str">
        <f t="shared" si="10"/>
        <v>49928.3090</v>
      </c>
      <c r="H48" s="17">
        <f t="shared" si="11"/>
        <v>22731.5</v>
      </c>
      <c r="I48" s="50" t="s">
        <v>194</v>
      </c>
      <c r="J48" s="51" t="s">
        <v>195</v>
      </c>
      <c r="K48" s="50">
        <v>22731.5</v>
      </c>
      <c r="L48" s="50" t="s">
        <v>196</v>
      </c>
      <c r="M48" s="51" t="s">
        <v>184</v>
      </c>
      <c r="N48" s="51" t="s">
        <v>185</v>
      </c>
      <c r="O48" s="52" t="s">
        <v>186</v>
      </c>
      <c r="P48" s="53" t="s">
        <v>187</v>
      </c>
    </row>
    <row r="49" spans="1:16" ht="12.75" customHeight="1" thickBot="1" x14ac:dyDescent="0.25">
      <c r="A49" s="17" t="str">
        <f t="shared" si="6"/>
        <v>BAVM 132 </v>
      </c>
      <c r="B49" s="6" t="str">
        <f t="shared" si="7"/>
        <v>I</v>
      </c>
      <c r="C49" s="17">
        <f t="shared" si="8"/>
        <v>49931.460800000001</v>
      </c>
      <c r="D49" s="19" t="str">
        <f t="shared" si="9"/>
        <v>vis</v>
      </c>
      <c r="E49" s="49">
        <f>VLOOKUP(C49,Active!C$21:E$973,3,FALSE)</f>
        <v>22734.359262359445</v>
      </c>
      <c r="F49" s="6" t="s">
        <v>73</v>
      </c>
      <c r="G49" s="19" t="str">
        <f t="shared" si="10"/>
        <v>49931.4608</v>
      </c>
      <c r="H49" s="17">
        <f t="shared" si="11"/>
        <v>22735</v>
      </c>
      <c r="I49" s="50" t="s">
        <v>197</v>
      </c>
      <c r="J49" s="51" t="s">
        <v>198</v>
      </c>
      <c r="K49" s="50">
        <v>22735</v>
      </c>
      <c r="L49" s="50" t="s">
        <v>199</v>
      </c>
      <c r="M49" s="51" t="s">
        <v>184</v>
      </c>
      <c r="N49" s="51" t="s">
        <v>185</v>
      </c>
      <c r="O49" s="52" t="s">
        <v>186</v>
      </c>
      <c r="P49" s="53" t="s">
        <v>187</v>
      </c>
    </row>
    <row r="50" spans="1:16" ht="12.75" customHeight="1" thickBot="1" x14ac:dyDescent="0.25">
      <c r="A50" s="17" t="str">
        <f t="shared" si="6"/>
        <v>BAVM 132 </v>
      </c>
      <c r="B50" s="6" t="str">
        <f t="shared" si="7"/>
        <v>II</v>
      </c>
      <c r="C50" s="17">
        <f t="shared" si="8"/>
        <v>49935.498299999999</v>
      </c>
      <c r="D50" s="19" t="str">
        <f t="shared" si="9"/>
        <v>vis</v>
      </c>
      <c r="E50" s="49">
        <f>VLOOKUP(C50,Active!C$21:E$973,3,FALSE)</f>
        <v>22738.850868642727</v>
      </c>
      <c r="F50" s="6" t="s">
        <v>73</v>
      </c>
      <c r="G50" s="19" t="str">
        <f t="shared" si="10"/>
        <v>49935.4983</v>
      </c>
      <c r="H50" s="17">
        <f t="shared" si="11"/>
        <v>22739.5</v>
      </c>
      <c r="I50" s="50" t="s">
        <v>200</v>
      </c>
      <c r="J50" s="51" t="s">
        <v>201</v>
      </c>
      <c r="K50" s="50">
        <v>22739.5</v>
      </c>
      <c r="L50" s="50" t="s">
        <v>202</v>
      </c>
      <c r="M50" s="51" t="s">
        <v>184</v>
      </c>
      <c r="N50" s="51" t="s">
        <v>185</v>
      </c>
      <c r="O50" s="52" t="s">
        <v>203</v>
      </c>
      <c r="P50" s="53" t="s">
        <v>187</v>
      </c>
    </row>
    <row r="51" spans="1:16" ht="12.75" customHeight="1" thickBot="1" x14ac:dyDescent="0.25">
      <c r="A51" s="17" t="str">
        <f t="shared" si="6"/>
        <v>BAVM 132 </v>
      </c>
      <c r="B51" s="6" t="str">
        <f t="shared" si="7"/>
        <v>II</v>
      </c>
      <c r="C51" s="17">
        <f t="shared" si="8"/>
        <v>49997.520499999999</v>
      </c>
      <c r="D51" s="19" t="str">
        <f t="shared" si="9"/>
        <v>vis</v>
      </c>
      <c r="E51" s="49">
        <f>VLOOKUP(C51,Active!C$21:E$973,3,FALSE)</f>
        <v>22807.848838481255</v>
      </c>
      <c r="F51" s="6" t="s">
        <v>73</v>
      </c>
      <c r="G51" s="19" t="str">
        <f t="shared" si="10"/>
        <v>49997.5205</v>
      </c>
      <c r="H51" s="17">
        <f t="shared" si="11"/>
        <v>22808.5</v>
      </c>
      <c r="I51" s="50" t="s">
        <v>204</v>
      </c>
      <c r="J51" s="51" t="s">
        <v>205</v>
      </c>
      <c r="K51" s="50">
        <v>22808.5</v>
      </c>
      <c r="L51" s="50" t="s">
        <v>206</v>
      </c>
      <c r="M51" s="51" t="s">
        <v>184</v>
      </c>
      <c r="N51" s="51" t="s">
        <v>185</v>
      </c>
      <c r="O51" s="52" t="s">
        <v>186</v>
      </c>
      <c r="P51" s="53" t="s">
        <v>187</v>
      </c>
    </row>
    <row r="52" spans="1:16" ht="12.75" customHeight="1" thickBot="1" x14ac:dyDescent="0.25">
      <c r="A52" s="17" t="str">
        <f t="shared" si="6"/>
        <v>BAVM 132 </v>
      </c>
      <c r="B52" s="6" t="str">
        <f t="shared" si="7"/>
        <v>I</v>
      </c>
      <c r="C52" s="17">
        <f t="shared" si="8"/>
        <v>50224.497799999997</v>
      </c>
      <c r="D52" s="19" t="str">
        <f t="shared" si="9"/>
        <v>vis</v>
      </c>
      <c r="E52" s="49">
        <f>VLOOKUP(C52,Active!C$21:E$973,3,FALSE)</f>
        <v>23060.354762157473</v>
      </c>
      <c r="F52" s="6" t="s">
        <v>73</v>
      </c>
      <c r="G52" s="19" t="str">
        <f t="shared" si="10"/>
        <v>50224.4978</v>
      </c>
      <c r="H52" s="17">
        <f t="shared" si="11"/>
        <v>23061</v>
      </c>
      <c r="I52" s="50" t="s">
        <v>207</v>
      </c>
      <c r="J52" s="51" t="s">
        <v>208</v>
      </c>
      <c r="K52" s="50">
        <v>23061</v>
      </c>
      <c r="L52" s="50" t="s">
        <v>209</v>
      </c>
      <c r="M52" s="51" t="s">
        <v>184</v>
      </c>
      <c r="N52" s="51" t="s">
        <v>185</v>
      </c>
      <c r="O52" s="52" t="s">
        <v>186</v>
      </c>
      <c r="P52" s="53" t="s">
        <v>187</v>
      </c>
    </row>
    <row r="53" spans="1:16" ht="12.75" customHeight="1" thickBot="1" x14ac:dyDescent="0.25">
      <c r="A53" s="17" t="str">
        <f t="shared" si="6"/>
        <v>BAVM 132 </v>
      </c>
      <c r="B53" s="6" t="str">
        <f t="shared" si="7"/>
        <v>II</v>
      </c>
      <c r="C53" s="17">
        <f t="shared" si="8"/>
        <v>50370.566099999996</v>
      </c>
      <c r="D53" s="19" t="str">
        <f t="shared" si="9"/>
        <v>vis</v>
      </c>
      <c r="E53" s="49">
        <f>VLOOKUP(C53,Active!C$21:E$973,3,FALSE)</f>
        <v>23222.851677097049</v>
      </c>
      <c r="F53" s="6" t="s">
        <v>73</v>
      </c>
      <c r="G53" s="19" t="str">
        <f t="shared" si="10"/>
        <v>50370.5661</v>
      </c>
      <c r="H53" s="17">
        <f t="shared" si="11"/>
        <v>23223.5</v>
      </c>
      <c r="I53" s="50" t="s">
        <v>210</v>
      </c>
      <c r="J53" s="51" t="s">
        <v>211</v>
      </c>
      <c r="K53" s="50">
        <v>23223.5</v>
      </c>
      <c r="L53" s="50" t="s">
        <v>212</v>
      </c>
      <c r="M53" s="51" t="s">
        <v>184</v>
      </c>
      <c r="N53" s="51" t="s">
        <v>185</v>
      </c>
      <c r="O53" s="52" t="s">
        <v>186</v>
      </c>
      <c r="P53" s="53" t="s">
        <v>187</v>
      </c>
    </row>
    <row r="54" spans="1:16" ht="12.75" customHeight="1" thickBot="1" x14ac:dyDescent="0.25">
      <c r="A54" s="17" t="str">
        <f t="shared" si="6"/>
        <v>BAVM 132 </v>
      </c>
      <c r="B54" s="6" t="str">
        <f t="shared" si="7"/>
        <v>II</v>
      </c>
      <c r="C54" s="17">
        <f t="shared" si="8"/>
        <v>50717.541299999997</v>
      </c>
      <c r="D54" s="19" t="str">
        <f t="shared" si="9"/>
        <v>vis</v>
      </c>
      <c r="E54" s="49">
        <f>VLOOKUP(C54,Active!C$21:E$973,3,FALSE)</f>
        <v>23608.851921917747</v>
      </c>
      <c r="F54" s="6" t="s">
        <v>73</v>
      </c>
      <c r="G54" s="19" t="str">
        <f t="shared" si="10"/>
        <v>50717.5413</v>
      </c>
      <c r="H54" s="17">
        <f t="shared" si="11"/>
        <v>23609.5</v>
      </c>
      <c r="I54" s="50" t="s">
        <v>213</v>
      </c>
      <c r="J54" s="51" t="s">
        <v>214</v>
      </c>
      <c r="K54" s="50">
        <v>23609.5</v>
      </c>
      <c r="L54" s="50" t="s">
        <v>215</v>
      </c>
      <c r="M54" s="51" t="s">
        <v>184</v>
      </c>
      <c r="N54" s="51" t="s">
        <v>185</v>
      </c>
      <c r="O54" s="52" t="s">
        <v>186</v>
      </c>
      <c r="P54" s="53" t="s">
        <v>187</v>
      </c>
    </row>
    <row r="55" spans="1:16" ht="12.75" customHeight="1" thickBot="1" x14ac:dyDescent="0.25">
      <c r="A55" s="17" t="str">
        <f t="shared" si="6"/>
        <v>BAVM 152 </v>
      </c>
      <c r="B55" s="6" t="str">
        <f t="shared" si="7"/>
        <v>I</v>
      </c>
      <c r="C55" s="17">
        <f t="shared" si="8"/>
        <v>52198.48</v>
      </c>
      <c r="D55" s="19" t="str">
        <f t="shared" si="9"/>
        <v>vis</v>
      </c>
      <c r="E55" s="49">
        <f>VLOOKUP(C55,Active!C$21:E$973,3,FALSE)</f>
        <v>25256.354973330202</v>
      </c>
      <c r="F55" s="6" t="s">
        <v>73</v>
      </c>
      <c r="G55" s="19" t="str">
        <f t="shared" si="10"/>
        <v>52198.480</v>
      </c>
      <c r="H55" s="17">
        <f t="shared" si="11"/>
        <v>25257</v>
      </c>
      <c r="I55" s="50" t="s">
        <v>216</v>
      </c>
      <c r="J55" s="51" t="s">
        <v>217</v>
      </c>
      <c r="K55" s="50">
        <v>25257</v>
      </c>
      <c r="L55" s="50" t="s">
        <v>218</v>
      </c>
      <c r="M55" s="51" t="s">
        <v>184</v>
      </c>
      <c r="N55" s="51" t="s">
        <v>185</v>
      </c>
      <c r="O55" s="52" t="s">
        <v>219</v>
      </c>
      <c r="P55" s="53" t="s">
        <v>220</v>
      </c>
    </row>
    <row r="56" spans="1:16" ht="12.75" customHeight="1" thickBot="1" x14ac:dyDescent="0.25">
      <c r="A56" s="17" t="str">
        <f t="shared" si="6"/>
        <v> BBS 129 </v>
      </c>
      <c r="B56" s="6" t="str">
        <f t="shared" si="7"/>
        <v>II</v>
      </c>
      <c r="C56" s="17">
        <f t="shared" si="8"/>
        <v>52531.518900000003</v>
      </c>
      <c r="D56" s="19" t="str">
        <f t="shared" si="9"/>
        <v>vis</v>
      </c>
      <c r="E56" s="49">
        <f>VLOOKUP(C56,Active!C$21:E$973,3,FALSE)</f>
        <v>25626.851472603968</v>
      </c>
      <c r="F56" s="6" t="s">
        <v>73</v>
      </c>
      <c r="G56" s="19" t="str">
        <f t="shared" si="10"/>
        <v>52531.5189</v>
      </c>
      <c r="H56" s="17">
        <f t="shared" si="11"/>
        <v>25627.5</v>
      </c>
      <c r="I56" s="50" t="s">
        <v>221</v>
      </c>
      <c r="J56" s="51" t="s">
        <v>222</v>
      </c>
      <c r="K56" s="50">
        <v>25627.5</v>
      </c>
      <c r="L56" s="50" t="s">
        <v>223</v>
      </c>
      <c r="M56" s="51" t="s">
        <v>184</v>
      </c>
      <c r="N56" s="51" t="s">
        <v>224</v>
      </c>
      <c r="O56" s="52" t="s">
        <v>225</v>
      </c>
      <c r="P56" s="52" t="s">
        <v>226</v>
      </c>
    </row>
    <row r="57" spans="1:16" ht="12.75" customHeight="1" thickBot="1" x14ac:dyDescent="0.25">
      <c r="A57" s="17" t="str">
        <f t="shared" si="6"/>
        <v>IBVS 5592 </v>
      </c>
      <c r="B57" s="6" t="str">
        <f t="shared" si="7"/>
        <v>II</v>
      </c>
      <c r="C57" s="17">
        <f t="shared" si="8"/>
        <v>52953.103300000002</v>
      </c>
      <c r="D57" s="19" t="str">
        <f t="shared" si="9"/>
        <v>vis</v>
      </c>
      <c r="E57" s="49">
        <f>VLOOKUP(C57,Active!C$21:E$973,3,FALSE)</f>
        <v>26095.852374145597</v>
      </c>
      <c r="F57" s="6" t="s">
        <v>73</v>
      </c>
      <c r="G57" s="19" t="str">
        <f t="shared" si="10"/>
        <v>52953.1033</v>
      </c>
      <c r="H57" s="17">
        <f t="shared" si="11"/>
        <v>26096.5</v>
      </c>
      <c r="I57" s="50" t="s">
        <v>227</v>
      </c>
      <c r="J57" s="51" t="s">
        <v>228</v>
      </c>
      <c r="K57" s="50">
        <v>26096.5</v>
      </c>
      <c r="L57" s="50" t="s">
        <v>229</v>
      </c>
      <c r="M57" s="51" t="s">
        <v>184</v>
      </c>
      <c r="N57" s="51" t="s">
        <v>224</v>
      </c>
      <c r="O57" s="52" t="s">
        <v>230</v>
      </c>
      <c r="P57" s="53" t="s">
        <v>231</v>
      </c>
    </row>
    <row r="58" spans="1:16" ht="12.75" customHeight="1" thickBot="1" x14ac:dyDescent="0.25">
      <c r="A58" s="17" t="str">
        <f t="shared" si="6"/>
        <v> BBS 130 </v>
      </c>
      <c r="B58" s="6" t="str">
        <f t="shared" si="7"/>
        <v>II</v>
      </c>
      <c r="C58" s="17">
        <f t="shared" si="8"/>
        <v>52986.364000000001</v>
      </c>
      <c r="D58" s="19" t="str">
        <f t="shared" si="9"/>
        <v>vis</v>
      </c>
      <c r="E58" s="49">
        <f>VLOOKUP(C58,Active!C$21:E$973,3,FALSE)</f>
        <v>26132.853976401053</v>
      </c>
      <c r="F58" s="6" t="s">
        <v>73</v>
      </c>
      <c r="G58" s="19" t="str">
        <f t="shared" si="10"/>
        <v>52986.3640</v>
      </c>
      <c r="H58" s="17">
        <f t="shared" si="11"/>
        <v>26133.5</v>
      </c>
      <c r="I58" s="50" t="s">
        <v>232</v>
      </c>
      <c r="J58" s="51" t="s">
        <v>233</v>
      </c>
      <c r="K58" s="50">
        <v>26133.5</v>
      </c>
      <c r="L58" s="50" t="s">
        <v>234</v>
      </c>
      <c r="M58" s="51" t="s">
        <v>184</v>
      </c>
      <c r="N58" s="51" t="s">
        <v>224</v>
      </c>
      <c r="O58" s="52" t="s">
        <v>235</v>
      </c>
      <c r="P58" s="52" t="s">
        <v>236</v>
      </c>
    </row>
    <row r="59" spans="1:16" ht="12.75" customHeight="1" thickBot="1" x14ac:dyDescent="0.25">
      <c r="A59" s="17" t="str">
        <f t="shared" si="6"/>
        <v>BAVM 178 </v>
      </c>
      <c r="B59" s="6" t="str">
        <f t="shared" si="7"/>
        <v>I</v>
      </c>
      <c r="C59" s="17">
        <f t="shared" si="8"/>
        <v>53683.469100000002</v>
      </c>
      <c r="D59" s="19" t="str">
        <f t="shared" si="9"/>
        <v>vis</v>
      </c>
      <c r="E59" s="49">
        <f>VLOOKUP(C59,Active!C$21:E$973,3,FALSE)</f>
        <v>26908.363981916595</v>
      </c>
      <c r="F59" s="6" t="s">
        <v>73</v>
      </c>
      <c r="G59" s="19" t="str">
        <f t="shared" si="10"/>
        <v>53683.4691</v>
      </c>
      <c r="H59" s="17">
        <f t="shared" si="11"/>
        <v>26909</v>
      </c>
      <c r="I59" s="50" t="s">
        <v>237</v>
      </c>
      <c r="J59" s="51" t="s">
        <v>238</v>
      </c>
      <c r="K59" s="50">
        <v>26909</v>
      </c>
      <c r="L59" s="50" t="s">
        <v>239</v>
      </c>
      <c r="M59" s="51" t="s">
        <v>240</v>
      </c>
      <c r="N59" s="51" t="s">
        <v>241</v>
      </c>
      <c r="O59" s="52" t="s">
        <v>242</v>
      </c>
      <c r="P59" s="53" t="s">
        <v>243</v>
      </c>
    </row>
    <row r="60" spans="1:16" ht="12.75" customHeight="1" thickBot="1" x14ac:dyDescent="0.25">
      <c r="A60" s="17" t="str">
        <f t="shared" si="6"/>
        <v>IBVS 5920 </v>
      </c>
      <c r="B60" s="6" t="str">
        <f t="shared" si="7"/>
        <v>I</v>
      </c>
      <c r="C60" s="17">
        <f t="shared" si="8"/>
        <v>55121.7019</v>
      </c>
      <c r="D60" s="19" t="str">
        <f t="shared" si="9"/>
        <v>vis</v>
      </c>
      <c r="E60" s="49">
        <f>VLOOKUP(C60,Active!C$21:E$973,3,FALSE)</f>
        <v>28508.357909174669</v>
      </c>
      <c r="F60" s="6" t="s">
        <v>73</v>
      </c>
      <c r="G60" s="19" t="str">
        <f t="shared" si="10"/>
        <v>55121.7019</v>
      </c>
      <c r="H60" s="17">
        <f t="shared" si="11"/>
        <v>28509</v>
      </c>
      <c r="I60" s="50" t="s">
        <v>251</v>
      </c>
      <c r="J60" s="51" t="s">
        <v>252</v>
      </c>
      <c r="K60" s="50" t="s">
        <v>253</v>
      </c>
      <c r="L60" s="50" t="s">
        <v>254</v>
      </c>
      <c r="M60" s="51" t="s">
        <v>240</v>
      </c>
      <c r="N60" s="51" t="s">
        <v>73</v>
      </c>
      <c r="O60" s="52" t="s">
        <v>225</v>
      </c>
      <c r="P60" s="53" t="s">
        <v>255</v>
      </c>
    </row>
    <row r="61" spans="1:16" ht="12.75" customHeight="1" thickBot="1" x14ac:dyDescent="0.25">
      <c r="A61" s="17" t="str">
        <f t="shared" si="6"/>
        <v>BAVM 220 </v>
      </c>
      <c r="B61" s="6" t="str">
        <f t="shared" si="7"/>
        <v>II</v>
      </c>
      <c r="C61" s="17">
        <f t="shared" si="8"/>
        <v>55474.509400000003</v>
      </c>
      <c r="D61" s="19" t="str">
        <f t="shared" si="9"/>
        <v>vis</v>
      </c>
      <c r="E61" s="49">
        <f>VLOOKUP(C61,Active!C$21:E$973,3,FALSE)</f>
        <v>28900.84642528354</v>
      </c>
      <c r="F61" s="6" t="s">
        <v>73</v>
      </c>
      <c r="G61" s="19" t="str">
        <f t="shared" si="10"/>
        <v>55474.5094</v>
      </c>
      <c r="H61" s="17">
        <f t="shared" si="11"/>
        <v>28901.5</v>
      </c>
      <c r="I61" s="50" t="s">
        <v>256</v>
      </c>
      <c r="J61" s="51" t="s">
        <v>257</v>
      </c>
      <c r="K61" s="50" t="s">
        <v>258</v>
      </c>
      <c r="L61" s="50" t="s">
        <v>259</v>
      </c>
      <c r="M61" s="51" t="s">
        <v>240</v>
      </c>
      <c r="N61" s="51" t="s">
        <v>241</v>
      </c>
      <c r="O61" s="52" t="s">
        <v>260</v>
      </c>
      <c r="P61" s="53" t="s">
        <v>261</v>
      </c>
    </row>
    <row r="62" spans="1:16" ht="12.75" customHeight="1" thickBot="1" x14ac:dyDescent="0.25">
      <c r="A62" s="17" t="str">
        <f t="shared" si="6"/>
        <v>BAVM 215 </v>
      </c>
      <c r="B62" s="6" t="str">
        <f t="shared" si="7"/>
        <v>II</v>
      </c>
      <c r="C62" s="17">
        <f t="shared" si="8"/>
        <v>55482.599900000001</v>
      </c>
      <c r="D62" s="19" t="str">
        <f t="shared" si="9"/>
        <v>vis</v>
      </c>
      <c r="E62" s="49">
        <f>VLOOKUP(C62,Active!C$21:E$973,3,FALSE)</f>
        <v>28909.846881168341</v>
      </c>
      <c r="F62" s="6" t="s">
        <v>73</v>
      </c>
      <c r="G62" s="19" t="str">
        <f t="shared" si="10"/>
        <v>55482.5999</v>
      </c>
      <c r="H62" s="17">
        <f t="shared" si="11"/>
        <v>28910.5</v>
      </c>
      <c r="I62" s="50" t="s">
        <v>262</v>
      </c>
      <c r="J62" s="51" t="s">
        <v>263</v>
      </c>
      <c r="K62" s="50" t="s">
        <v>264</v>
      </c>
      <c r="L62" s="50" t="s">
        <v>265</v>
      </c>
      <c r="M62" s="51" t="s">
        <v>240</v>
      </c>
      <c r="N62" s="51" t="s">
        <v>241</v>
      </c>
      <c r="O62" s="52" t="s">
        <v>219</v>
      </c>
      <c r="P62" s="53" t="s">
        <v>266</v>
      </c>
    </row>
    <row r="63" spans="1:16" ht="12.75" customHeight="1" thickBot="1" x14ac:dyDescent="0.25">
      <c r="A63" s="17" t="str">
        <f t="shared" si="6"/>
        <v>BAVM 220 </v>
      </c>
      <c r="B63" s="6" t="str">
        <f t="shared" si="7"/>
        <v>II</v>
      </c>
      <c r="C63" s="17">
        <f t="shared" si="8"/>
        <v>55644.4018</v>
      </c>
      <c r="D63" s="19" t="str">
        <f t="shared" si="9"/>
        <v>vis</v>
      </c>
      <c r="E63" s="49">
        <f>VLOOKUP(C63,Active!C$21:E$973,3,FALSE)</f>
        <v>29089.846987840097</v>
      </c>
      <c r="F63" s="6" t="s">
        <v>73</v>
      </c>
      <c r="G63" s="19" t="str">
        <f t="shared" si="10"/>
        <v>55644.4018</v>
      </c>
      <c r="H63" s="17">
        <f t="shared" si="11"/>
        <v>29090.5</v>
      </c>
      <c r="I63" s="50" t="s">
        <v>267</v>
      </c>
      <c r="J63" s="51" t="s">
        <v>268</v>
      </c>
      <c r="K63" s="50" t="s">
        <v>269</v>
      </c>
      <c r="L63" s="50" t="s">
        <v>270</v>
      </c>
      <c r="M63" s="51" t="s">
        <v>240</v>
      </c>
      <c r="N63" s="51" t="s">
        <v>241</v>
      </c>
      <c r="O63" s="52" t="s">
        <v>219</v>
      </c>
      <c r="P63" s="53" t="s">
        <v>261</v>
      </c>
    </row>
    <row r="64" spans="1:16" ht="12.75" customHeight="1" thickBot="1" x14ac:dyDescent="0.25">
      <c r="A64" s="17" t="str">
        <f t="shared" si="6"/>
        <v>BAVM 220 </v>
      </c>
      <c r="B64" s="6" t="str">
        <f t="shared" si="7"/>
        <v>I</v>
      </c>
      <c r="C64" s="17">
        <f t="shared" si="8"/>
        <v>55692.499499999998</v>
      </c>
      <c r="D64" s="19" t="str">
        <f t="shared" si="9"/>
        <v>vis</v>
      </c>
      <c r="E64" s="49">
        <f>VLOOKUP(C64,Active!C$21:E$973,3,FALSE)</f>
        <v>29143.354339303001</v>
      </c>
      <c r="F64" s="6" t="s">
        <v>73</v>
      </c>
      <c r="G64" s="19" t="str">
        <f t="shared" si="10"/>
        <v>55692.4995</v>
      </c>
      <c r="H64" s="17">
        <f t="shared" si="11"/>
        <v>29144</v>
      </c>
      <c r="I64" s="50" t="s">
        <v>271</v>
      </c>
      <c r="J64" s="51" t="s">
        <v>272</v>
      </c>
      <c r="K64" s="50" t="s">
        <v>273</v>
      </c>
      <c r="L64" s="50" t="s">
        <v>274</v>
      </c>
      <c r="M64" s="51" t="s">
        <v>240</v>
      </c>
      <c r="N64" s="51" t="s">
        <v>241</v>
      </c>
      <c r="O64" s="52" t="s">
        <v>219</v>
      </c>
      <c r="P64" s="53" t="s">
        <v>261</v>
      </c>
    </row>
    <row r="65" spans="1:16" ht="12.75" customHeight="1" thickBot="1" x14ac:dyDescent="0.25">
      <c r="A65" s="17" t="str">
        <f t="shared" si="6"/>
        <v>BAVM 220 </v>
      </c>
      <c r="B65" s="6" t="str">
        <f t="shared" si="7"/>
        <v>II</v>
      </c>
      <c r="C65" s="17">
        <f t="shared" si="8"/>
        <v>55706.426299999999</v>
      </c>
      <c r="D65" s="19" t="str">
        <f t="shared" si="9"/>
        <v>vis</v>
      </c>
      <c r="E65" s="49">
        <f>VLOOKUP(C65,Active!C$21:E$973,3,FALSE)</f>
        <v>29158.84751636456</v>
      </c>
      <c r="F65" s="6" t="s">
        <v>73</v>
      </c>
      <c r="G65" s="19" t="str">
        <f t="shared" si="10"/>
        <v>55706.4263</v>
      </c>
      <c r="H65" s="17">
        <f t="shared" si="11"/>
        <v>29159.5</v>
      </c>
      <c r="I65" s="50" t="s">
        <v>275</v>
      </c>
      <c r="J65" s="51" t="s">
        <v>276</v>
      </c>
      <c r="K65" s="50" t="s">
        <v>277</v>
      </c>
      <c r="L65" s="50" t="s">
        <v>278</v>
      </c>
      <c r="M65" s="51" t="s">
        <v>240</v>
      </c>
      <c r="N65" s="51" t="s">
        <v>185</v>
      </c>
      <c r="O65" s="52" t="s">
        <v>279</v>
      </c>
      <c r="P65" s="53" t="s">
        <v>261</v>
      </c>
    </row>
    <row r="66" spans="1:16" ht="12.75" customHeight="1" thickBot="1" x14ac:dyDescent="0.25">
      <c r="A66" s="17" t="str">
        <f t="shared" si="6"/>
        <v>BAVM 231 </v>
      </c>
      <c r="B66" s="6" t="str">
        <f t="shared" si="7"/>
        <v>I</v>
      </c>
      <c r="C66" s="17">
        <f t="shared" si="8"/>
        <v>56181.504099999998</v>
      </c>
      <c r="D66" s="19" t="str">
        <f t="shared" si="9"/>
        <v>vis</v>
      </c>
      <c r="E66" s="49">
        <f>VLOOKUP(C66,Active!C$21:E$973,3,FALSE)</f>
        <v>29687.35833531899</v>
      </c>
      <c r="F66" s="6" t="s">
        <v>73</v>
      </c>
      <c r="G66" s="19" t="str">
        <f t="shared" si="10"/>
        <v>56181.5041</v>
      </c>
      <c r="H66" s="17">
        <f t="shared" si="11"/>
        <v>29688</v>
      </c>
      <c r="I66" s="50" t="s">
        <v>280</v>
      </c>
      <c r="J66" s="51" t="s">
        <v>281</v>
      </c>
      <c r="K66" s="50" t="s">
        <v>282</v>
      </c>
      <c r="L66" s="50" t="s">
        <v>283</v>
      </c>
      <c r="M66" s="51" t="s">
        <v>240</v>
      </c>
      <c r="N66" s="51" t="s">
        <v>248</v>
      </c>
      <c r="O66" s="52" t="s">
        <v>260</v>
      </c>
      <c r="P66" s="53" t="s">
        <v>284</v>
      </c>
    </row>
    <row r="67" spans="1:16" ht="12.75" customHeight="1" thickBot="1" x14ac:dyDescent="0.25">
      <c r="A67" s="17" t="str">
        <f t="shared" si="6"/>
        <v>IBVS 6042 </v>
      </c>
      <c r="B67" s="6" t="str">
        <f t="shared" si="7"/>
        <v>II</v>
      </c>
      <c r="C67" s="17">
        <f t="shared" si="8"/>
        <v>56219.698299999996</v>
      </c>
      <c r="D67" s="19" t="str">
        <f t="shared" si="9"/>
        <v>vis</v>
      </c>
      <c r="E67" s="49">
        <f>VLOOKUP(C67,Active!C$21:E$973,3,FALSE)</f>
        <v>29729.84831889917</v>
      </c>
      <c r="F67" s="6" t="s">
        <v>73</v>
      </c>
      <c r="G67" s="19" t="str">
        <f t="shared" si="10"/>
        <v>56219.6983</v>
      </c>
      <c r="H67" s="17">
        <f t="shared" si="11"/>
        <v>29730.5</v>
      </c>
      <c r="I67" s="50" t="s">
        <v>285</v>
      </c>
      <c r="J67" s="51" t="s">
        <v>286</v>
      </c>
      <c r="K67" s="50" t="s">
        <v>287</v>
      </c>
      <c r="L67" s="50" t="s">
        <v>288</v>
      </c>
      <c r="M67" s="51" t="s">
        <v>240</v>
      </c>
      <c r="N67" s="51" t="s">
        <v>73</v>
      </c>
      <c r="O67" s="52" t="s">
        <v>225</v>
      </c>
      <c r="P67" s="53" t="s">
        <v>289</v>
      </c>
    </row>
    <row r="68" spans="1:16" ht="12.75" customHeight="1" thickBot="1" x14ac:dyDescent="0.25">
      <c r="A68" s="17" t="str">
        <f t="shared" si="6"/>
        <v>OEJV 0107 </v>
      </c>
      <c r="B68" s="6" t="str">
        <f t="shared" si="7"/>
        <v>I</v>
      </c>
      <c r="C68" s="17">
        <f t="shared" si="8"/>
        <v>54751.341200000003</v>
      </c>
      <c r="D68" s="19" t="str">
        <f t="shared" si="9"/>
        <v>vis</v>
      </c>
      <c r="E68" s="49" t="e">
        <f>VLOOKUP(C68,Active!C$21:E$973,3,FALSE)</f>
        <v>#N/A</v>
      </c>
      <c r="F68" s="6" t="s">
        <v>73</v>
      </c>
      <c r="G68" s="19" t="str">
        <f t="shared" si="10"/>
        <v>54751.3412</v>
      </c>
      <c r="H68" s="17">
        <f t="shared" si="11"/>
        <v>28097</v>
      </c>
      <c r="I68" s="50" t="s">
        <v>244</v>
      </c>
      <c r="J68" s="51" t="s">
        <v>245</v>
      </c>
      <c r="K68" s="50" t="s">
        <v>246</v>
      </c>
      <c r="L68" s="50" t="s">
        <v>247</v>
      </c>
      <c r="M68" s="51" t="s">
        <v>240</v>
      </c>
      <c r="N68" s="51" t="s">
        <v>248</v>
      </c>
      <c r="O68" s="52" t="s">
        <v>249</v>
      </c>
      <c r="P68" s="53" t="s">
        <v>250</v>
      </c>
    </row>
    <row r="69" spans="1:16" x14ac:dyDescent="0.2">
      <c r="B69" s="6"/>
      <c r="F69" s="6"/>
    </row>
    <row r="70" spans="1:16" x14ac:dyDescent="0.2">
      <c r="B70" s="6"/>
      <c r="F70" s="6"/>
    </row>
    <row r="71" spans="1:16" x14ac:dyDescent="0.2">
      <c r="B71" s="6"/>
      <c r="F71" s="6"/>
    </row>
    <row r="72" spans="1:16" x14ac:dyDescent="0.2">
      <c r="B72" s="6"/>
      <c r="F72" s="6"/>
    </row>
    <row r="73" spans="1:16" x14ac:dyDescent="0.2">
      <c r="B73" s="6"/>
      <c r="F73" s="6"/>
    </row>
    <row r="74" spans="1:16" x14ac:dyDescent="0.2">
      <c r="B74" s="6"/>
      <c r="F74" s="6"/>
    </row>
    <row r="75" spans="1:16" x14ac:dyDescent="0.2">
      <c r="B75" s="6"/>
      <c r="F75" s="6"/>
    </row>
    <row r="76" spans="1:16" x14ac:dyDescent="0.2">
      <c r="B76" s="6"/>
      <c r="F76" s="6"/>
    </row>
    <row r="77" spans="1:16" x14ac:dyDescent="0.2">
      <c r="B77" s="6"/>
      <c r="F77" s="6"/>
    </row>
    <row r="78" spans="1:16" x14ac:dyDescent="0.2">
      <c r="B78" s="6"/>
      <c r="F78" s="6"/>
    </row>
    <row r="79" spans="1:16" x14ac:dyDescent="0.2">
      <c r="B79" s="6"/>
      <c r="F79" s="6"/>
    </row>
    <row r="80" spans="1:16" x14ac:dyDescent="0.2">
      <c r="B80" s="6"/>
      <c r="F80" s="6"/>
    </row>
    <row r="81" spans="2:6" x14ac:dyDescent="0.2">
      <c r="B81" s="6"/>
      <c r="F81" s="6"/>
    </row>
    <row r="82" spans="2:6" x14ac:dyDescent="0.2">
      <c r="B82" s="6"/>
      <c r="F82" s="6"/>
    </row>
    <row r="83" spans="2:6" x14ac:dyDescent="0.2">
      <c r="B83" s="6"/>
      <c r="F83" s="6"/>
    </row>
    <row r="84" spans="2:6" x14ac:dyDescent="0.2">
      <c r="B84" s="6"/>
      <c r="F84" s="6"/>
    </row>
    <row r="85" spans="2:6" x14ac:dyDescent="0.2">
      <c r="B85" s="6"/>
      <c r="F85" s="6"/>
    </row>
    <row r="86" spans="2:6" x14ac:dyDescent="0.2">
      <c r="B86" s="6"/>
      <c r="F86" s="6"/>
    </row>
    <row r="87" spans="2:6" x14ac:dyDescent="0.2">
      <c r="B87" s="6"/>
      <c r="F87" s="6"/>
    </row>
    <row r="88" spans="2:6" x14ac:dyDescent="0.2">
      <c r="B88" s="6"/>
      <c r="F88" s="6"/>
    </row>
    <row r="89" spans="2:6" x14ac:dyDescent="0.2">
      <c r="B89" s="6"/>
      <c r="F89" s="6"/>
    </row>
    <row r="90" spans="2:6" x14ac:dyDescent="0.2">
      <c r="B90" s="6"/>
      <c r="F90" s="6"/>
    </row>
    <row r="91" spans="2:6" x14ac:dyDescent="0.2">
      <c r="B91" s="6"/>
      <c r="F91" s="6"/>
    </row>
    <row r="92" spans="2:6" x14ac:dyDescent="0.2">
      <c r="B92" s="6"/>
      <c r="F92" s="6"/>
    </row>
    <row r="93" spans="2:6" x14ac:dyDescent="0.2">
      <c r="B93" s="6"/>
      <c r="F93" s="6"/>
    </row>
    <row r="94" spans="2:6" x14ac:dyDescent="0.2">
      <c r="B94" s="6"/>
      <c r="F94" s="6"/>
    </row>
    <row r="95" spans="2:6" x14ac:dyDescent="0.2">
      <c r="B95" s="6"/>
      <c r="F95" s="6"/>
    </row>
    <row r="96" spans="2:6" x14ac:dyDescent="0.2">
      <c r="B96" s="6"/>
      <c r="F96" s="6"/>
    </row>
    <row r="97" spans="2:6" x14ac:dyDescent="0.2">
      <c r="B97" s="6"/>
      <c r="F97" s="6"/>
    </row>
    <row r="98" spans="2:6" x14ac:dyDescent="0.2">
      <c r="B98" s="6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  <row r="819" spans="2:6" x14ac:dyDescent="0.2">
      <c r="B819" s="6"/>
      <c r="F819" s="6"/>
    </row>
    <row r="820" spans="2:6" x14ac:dyDescent="0.2">
      <c r="B820" s="6"/>
      <c r="F820" s="6"/>
    </row>
    <row r="821" spans="2:6" x14ac:dyDescent="0.2">
      <c r="B821" s="6"/>
      <c r="F821" s="6"/>
    </row>
    <row r="822" spans="2:6" x14ac:dyDescent="0.2">
      <c r="B822" s="6"/>
      <c r="F822" s="6"/>
    </row>
    <row r="823" spans="2:6" x14ac:dyDescent="0.2">
      <c r="B823" s="6"/>
      <c r="F823" s="6"/>
    </row>
    <row r="824" spans="2:6" x14ac:dyDescent="0.2">
      <c r="B824" s="6"/>
      <c r="F824" s="6"/>
    </row>
    <row r="825" spans="2:6" x14ac:dyDescent="0.2">
      <c r="B825" s="6"/>
      <c r="F825" s="6"/>
    </row>
    <row r="826" spans="2:6" x14ac:dyDescent="0.2">
      <c r="B826" s="6"/>
      <c r="F826" s="6"/>
    </row>
    <row r="827" spans="2:6" x14ac:dyDescent="0.2">
      <c r="B827" s="6"/>
      <c r="F827" s="6"/>
    </row>
    <row r="828" spans="2:6" x14ac:dyDescent="0.2">
      <c r="B828" s="6"/>
      <c r="F828" s="6"/>
    </row>
    <row r="829" spans="2:6" x14ac:dyDescent="0.2">
      <c r="B829" s="6"/>
      <c r="F829" s="6"/>
    </row>
    <row r="830" spans="2:6" x14ac:dyDescent="0.2">
      <c r="B830" s="6"/>
      <c r="F830" s="6"/>
    </row>
    <row r="831" spans="2:6" x14ac:dyDescent="0.2">
      <c r="B831" s="6"/>
      <c r="F831" s="6"/>
    </row>
    <row r="832" spans="2:6" x14ac:dyDescent="0.2">
      <c r="B832" s="6"/>
      <c r="F832" s="6"/>
    </row>
    <row r="833" spans="2:6" x14ac:dyDescent="0.2">
      <c r="B833" s="6"/>
      <c r="F833" s="6"/>
    </row>
    <row r="834" spans="2:6" x14ac:dyDescent="0.2">
      <c r="B834" s="6"/>
      <c r="F834" s="6"/>
    </row>
    <row r="835" spans="2:6" x14ac:dyDescent="0.2">
      <c r="B835" s="6"/>
      <c r="F835" s="6"/>
    </row>
    <row r="836" spans="2:6" x14ac:dyDescent="0.2">
      <c r="B836" s="6"/>
      <c r="F836" s="6"/>
    </row>
    <row r="837" spans="2:6" x14ac:dyDescent="0.2">
      <c r="B837" s="6"/>
      <c r="F837" s="6"/>
    </row>
    <row r="838" spans="2:6" x14ac:dyDescent="0.2">
      <c r="B838" s="6"/>
      <c r="F838" s="6"/>
    </row>
    <row r="839" spans="2:6" x14ac:dyDescent="0.2">
      <c r="B839" s="6"/>
      <c r="F839" s="6"/>
    </row>
    <row r="840" spans="2:6" x14ac:dyDescent="0.2">
      <c r="B840" s="6"/>
      <c r="F840" s="6"/>
    </row>
    <row r="841" spans="2:6" x14ac:dyDescent="0.2">
      <c r="B841" s="6"/>
      <c r="F841" s="6"/>
    </row>
  </sheetData>
  <phoneticPr fontId="8" type="noConversion"/>
  <hyperlinks>
    <hyperlink ref="P45" r:id="rId1" display="http://www.bav-astro.de/sfs/BAVM_link.php?BAVMnr=132" xr:uid="{00000000-0004-0000-0200-000000000000}"/>
    <hyperlink ref="P46" r:id="rId2" display="http://www.bav-astro.de/sfs/BAVM_link.php?BAVMnr=132" xr:uid="{00000000-0004-0000-0200-000001000000}"/>
    <hyperlink ref="P47" r:id="rId3" display="http://www.bav-astro.de/sfs/BAVM_link.php?BAVMnr=132" xr:uid="{00000000-0004-0000-0200-000002000000}"/>
    <hyperlink ref="P48" r:id="rId4" display="http://www.bav-astro.de/sfs/BAVM_link.php?BAVMnr=132" xr:uid="{00000000-0004-0000-0200-000003000000}"/>
    <hyperlink ref="P49" r:id="rId5" display="http://www.bav-astro.de/sfs/BAVM_link.php?BAVMnr=132" xr:uid="{00000000-0004-0000-0200-000004000000}"/>
    <hyperlink ref="P50" r:id="rId6" display="http://www.bav-astro.de/sfs/BAVM_link.php?BAVMnr=132" xr:uid="{00000000-0004-0000-0200-000005000000}"/>
    <hyperlink ref="P51" r:id="rId7" display="http://www.bav-astro.de/sfs/BAVM_link.php?BAVMnr=132" xr:uid="{00000000-0004-0000-0200-000006000000}"/>
    <hyperlink ref="P52" r:id="rId8" display="http://www.bav-astro.de/sfs/BAVM_link.php?BAVMnr=132" xr:uid="{00000000-0004-0000-0200-000007000000}"/>
    <hyperlink ref="P53" r:id="rId9" display="http://www.bav-astro.de/sfs/BAVM_link.php?BAVMnr=132" xr:uid="{00000000-0004-0000-0200-000008000000}"/>
    <hyperlink ref="P54" r:id="rId10" display="http://www.bav-astro.de/sfs/BAVM_link.php?BAVMnr=132" xr:uid="{00000000-0004-0000-0200-000009000000}"/>
    <hyperlink ref="P55" r:id="rId11" display="http://www.bav-astro.de/sfs/BAVM_link.php?BAVMnr=152" xr:uid="{00000000-0004-0000-0200-00000A000000}"/>
    <hyperlink ref="P57" r:id="rId12" display="http://www.konkoly.hu/cgi-bin/IBVS?5592" xr:uid="{00000000-0004-0000-0200-00000B000000}"/>
    <hyperlink ref="P59" r:id="rId13" display="http://www.bav-astro.de/sfs/BAVM_link.php?BAVMnr=178" xr:uid="{00000000-0004-0000-0200-00000C000000}"/>
    <hyperlink ref="P68" r:id="rId14" display="http://var.astro.cz/oejv/issues/oejv0107.pdf" xr:uid="{00000000-0004-0000-0200-00000D000000}"/>
    <hyperlink ref="P60" r:id="rId15" display="http://www.konkoly.hu/cgi-bin/IBVS?5920" xr:uid="{00000000-0004-0000-0200-00000E000000}"/>
    <hyperlink ref="P61" r:id="rId16" display="http://www.bav-astro.de/sfs/BAVM_link.php?BAVMnr=220" xr:uid="{00000000-0004-0000-0200-00000F000000}"/>
    <hyperlink ref="P62" r:id="rId17" display="http://www.bav-astro.de/sfs/BAVM_link.php?BAVMnr=215" xr:uid="{00000000-0004-0000-0200-000010000000}"/>
    <hyperlink ref="P63" r:id="rId18" display="http://www.bav-astro.de/sfs/BAVM_link.php?BAVMnr=220" xr:uid="{00000000-0004-0000-0200-000011000000}"/>
    <hyperlink ref="P64" r:id="rId19" display="http://www.bav-astro.de/sfs/BAVM_link.php?BAVMnr=220" xr:uid="{00000000-0004-0000-0200-000012000000}"/>
    <hyperlink ref="P65" r:id="rId20" display="http://www.bav-astro.de/sfs/BAVM_link.php?BAVMnr=220" xr:uid="{00000000-0004-0000-0200-000013000000}"/>
    <hyperlink ref="P66" r:id="rId21" display="http://www.bav-astro.de/sfs/BAVM_link.php?BAVMnr=231" xr:uid="{00000000-0004-0000-0200-000014000000}"/>
    <hyperlink ref="P67" r:id="rId22" display="http://www.konkoly.hu/cgi-bin/IBVS?6042" xr:uid="{00000000-0004-0000-0200-000015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2023-08-06T23:49:48Z</dcterms:modified>
</cp:coreProperties>
</file>