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7E2DE69-BD27-4AB3-B648-4A97ECF99683}" xr6:coauthVersionLast="47" xr6:coauthVersionMax="47" xr10:uidLastSave="{00000000-0000-0000-0000-000000000000}"/>
  <bookViews>
    <workbookView xWindow="14370" yWindow="60" windowWidth="13995" windowHeight="1443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K47" i="1" s="1"/>
  <c r="Q47" i="1"/>
  <c r="C7" i="1"/>
  <c r="E22" i="1"/>
  <c r="F22" i="1"/>
  <c r="G22" i="1"/>
  <c r="H22" i="1"/>
  <c r="C8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J31" i="1"/>
  <c r="E34" i="1"/>
  <c r="F34" i="1"/>
  <c r="G34" i="1"/>
  <c r="J34" i="1"/>
  <c r="E36" i="1"/>
  <c r="F36" i="1"/>
  <c r="G36" i="1"/>
  <c r="J36" i="1"/>
  <c r="E37" i="1"/>
  <c r="F37" i="1"/>
  <c r="G37" i="1"/>
  <c r="H37" i="1"/>
  <c r="E44" i="1"/>
  <c r="F44" i="1"/>
  <c r="G44" i="1"/>
  <c r="K44" i="1"/>
  <c r="D9" i="1"/>
  <c r="C9" i="1"/>
  <c r="E32" i="1"/>
  <c r="F32" i="1"/>
  <c r="G32" i="1"/>
  <c r="I32" i="1"/>
  <c r="E33" i="1"/>
  <c r="F33" i="1"/>
  <c r="G33" i="1"/>
  <c r="I33" i="1"/>
  <c r="E39" i="1"/>
  <c r="F39" i="1"/>
  <c r="G39" i="1"/>
  <c r="K39" i="1"/>
  <c r="E38" i="1"/>
  <c r="F38" i="1"/>
  <c r="G38" i="1"/>
  <c r="J38" i="1"/>
  <c r="E40" i="1"/>
  <c r="F40" i="1"/>
  <c r="G40" i="1"/>
  <c r="E41" i="1"/>
  <c r="F41" i="1"/>
  <c r="G41" i="1"/>
  <c r="K41" i="1"/>
  <c r="E42" i="1"/>
  <c r="F42" i="1"/>
  <c r="G42" i="1"/>
  <c r="K42" i="1"/>
  <c r="E43" i="1"/>
  <c r="F43" i="1"/>
  <c r="G43" i="1"/>
  <c r="E45" i="1"/>
  <c r="F45" i="1"/>
  <c r="G45" i="1"/>
  <c r="K45" i="1"/>
  <c r="E46" i="1"/>
  <c r="F46" i="1"/>
  <c r="G46" i="1"/>
  <c r="K46" i="1"/>
  <c r="E35" i="1"/>
  <c r="F35" i="1"/>
  <c r="G35" i="1"/>
  <c r="J35" i="1"/>
  <c r="E21" i="1"/>
  <c r="F21" i="1"/>
  <c r="Q22" i="1"/>
  <c r="Q23" i="1"/>
  <c r="Q24" i="1"/>
  <c r="Q25" i="1"/>
  <c r="Q26" i="1"/>
  <c r="Q27" i="1"/>
  <c r="Q28" i="1"/>
  <c r="Q29" i="1"/>
  <c r="Q30" i="1"/>
  <c r="Q31" i="1"/>
  <c r="Q34" i="1"/>
  <c r="Q36" i="1"/>
  <c r="Q37" i="1"/>
  <c r="Q44" i="1"/>
  <c r="G19" i="2"/>
  <c r="C19" i="2"/>
  <c r="E19" i="2"/>
  <c r="G18" i="2"/>
  <c r="C18" i="2"/>
  <c r="E18" i="2"/>
  <c r="G34" i="2"/>
  <c r="C34" i="2"/>
  <c r="E34" i="2"/>
  <c r="G17" i="2"/>
  <c r="C17" i="2"/>
  <c r="E17" i="2"/>
  <c r="G33" i="2"/>
  <c r="C33" i="2"/>
  <c r="E33" i="2"/>
  <c r="G16" i="2"/>
  <c r="C16" i="2"/>
  <c r="E16" i="2"/>
  <c r="G15" i="2"/>
  <c r="C15" i="2"/>
  <c r="E15" i="2"/>
  <c r="G14" i="2"/>
  <c r="C14" i="2"/>
  <c r="E14" i="2"/>
  <c r="G13" i="2"/>
  <c r="C13" i="2"/>
  <c r="E13" i="2"/>
  <c r="G32" i="2"/>
  <c r="C32" i="2"/>
  <c r="E32" i="2"/>
  <c r="G31" i="2"/>
  <c r="C31" i="2"/>
  <c r="E31" i="2"/>
  <c r="G30" i="2"/>
  <c r="C30" i="2"/>
  <c r="E30" i="2"/>
  <c r="G12" i="2"/>
  <c r="C12" i="2"/>
  <c r="E12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G11" i="2"/>
  <c r="C11" i="2"/>
  <c r="E11" i="2"/>
  <c r="H19" i="2"/>
  <c r="B19" i="2"/>
  <c r="D19" i="2"/>
  <c r="A19" i="2"/>
  <c r="H18" i="2"/>
  <c r="D18" i="2"/>
  <c r="B18" i="2"/>
  <c r="A18" i="2"/>
  <c r="H34" i="2"/>
  <c r="B34" i="2"/>
  <c r="D34" i="2"/>
  <c r="A34" i="2"/>
  <c r="H17" i="2"/>
  <c r="D17" i="2"/>
  <c r="B17" i="2"/>
  <c r="A17" i="2"/>
  <c r="H33" i="2"/>
  <c r="B33" i="2"/>
  <c r="D33" i="2"/>
  <c r="A33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32" i="2"/>
  <c r="D32" i="2"/>
  <c r="B32" i="2"/>
  <c r="A32" i="2"/>
  <c r="H31" i="2"/>
  <c r="B31" i="2"/>
  <c r="D31" i="2"/>
  <c r="A31" i="2"/>
  <c r="H30" i="2"/>
  <c r="D30" i="2"/>
  <c r="B30" i="2"/>
  <c r="A30" i="2"/>
  <c r="H12" i="2"/>
  <c r="B12" i="2"/>
  <c r="D12" i="2"/>
  <c r="A12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1" i="2"/>
  <c r="D11" i="2"/>
  <c r="B11" i="2"/>
  <c r="A11" i="2"/>
  <c r="Q46" i="1"/>
  <c r="Q45" i="1"/>
  <c r="F16" i="1"/>
  <c r="F17" i="1" s="1"/>
  <c r="K43" i="1"/>
  <c r="Q43" i="1"/>
  <c r="C17" i="1"/>
  <c r="Q42" i="1"/>
  <c r="Q41" i="1"/>
  <c r="J40" i="1"/>
  <c r="Q40" i="1"/>
  <c r="Q39" i="1"/>
  <c r="Q35" i="1"/>
  <c r="Q38" i="1"/>
  <c r="Q32" i="1"/>
  <c r="Q33" i="1"/>
  <c r="Q21" i="1"/>
  <c r="E20" i="2"/>
  <c r="C12" i="1"/>
  <c r="C11" i="1"/>
  <c r="O47" i="1" l="1"/>
  <c r="O46" i="1"/>
  <c r="O32" i="1"/>
  <c r="O33" i="1"/>
  <c r="O26" i="1"/>
  <c r="O35" i="1"/>
  <c r="O42" i="1"/>
  <c r="O36" i="1"/>
  <c r="O44" i="1"/>
  <c r="O31" i="1"/>
  <c r="O41" i="1"/>
  <c r="O27" i="1"/>
  <c r="O21" i="1"/>
  <c r="O43" i="1"/>
  <c r="O34" i="1"/>
  <c r="O38" i="1"/>
  <c r="O25" i="1"/>
  <c r="O45" i="1"/>
  <c r="O23" i="1"/>
  <c r="O24" i="1"/>
  <c r="C15" i="1"/>
  <c r="F18" i="1" s="1"/>
  <c r="O28" i="1"/>
  <c r="O22" i="1"/>
  <c r="O29" i="1"/>
  <c r="O30" i="1"/>
  <c r="O40" i="1"/>
  <c r="O39" i="1"/>
  <c r="O37" i="1"/>
  <c r="C16" i="1"/>
  <c r="D18" i="1" s="1"/>
  <c r="C18" i="1" l="1"/>
  <c r="F19" i="1"/>
</calcChain>
</file>

<file path=xl/sharedStrings.xml><?xml version="1.0" encoding="utf-8"?>
<sst xmlns="http://schemas.openxmlformats.org/spreadsheetml/2006/main" count="312" uniqueCount="176">
  <si>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</si>
  <si>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</si>
  <si>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</si>
  <si>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</si>
  <si>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</si>
  <si>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</si>
  <si>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</si>
  <si>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</si>
  <si>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</si>
  <si>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</si>
  <si>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</si>
  <si>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</si>
  <si>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</si>
  <si>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</si>
  <si>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</si>
  <si>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</si>
  <si>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</si>
  <si>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</si>
  <si>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</si>
  <si>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</si>
  <si>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</si>
  <si>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</si>
  <si>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</si>
  <si>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</si>
  <si>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</si>
  <si>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</si>
  <si>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</si>
  <si>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</si>
  <si>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</t>
  </si>
  <si>
    <t>R</t>
  </si>
  <si>
    <t>BBSAG Bull.113</t>
  </si>
  <si>
    <t>B</t>
  </si>
  <si>
    <t>BBSAG Bull.115</t>
  </si>
  <si>
    <t>IBVS 5484</t>
  </si>
  <si>
    <t>IBVS 5438</t>
  </si>
  <si>
    <t>ROTSE</t>
  </si>
  <si>
    <t>EA</t>
  </si>
  <si>
    <t>IBVS 5643</t>
  </si>
  <si>
    <t>IBVS 5690</t>
  </si>
  <si>
    <t>I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</si>
  <si>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</si>
  <si>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</si>
  <si>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</si>
  <si>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</si>
  <si>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</si>
  <si>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</si>
  <si>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5806</t>
  </si>
  <si>
    <t>II</t>
  </si>
  <si>
    <t>Start of linear fit &gt;&gt;&gt;&gt;&gt;&gt;&gt;&gt;&gt;&gt;&gt;&gt;&gt;&gt;&gt;&gt;&gt;&gt;&gt;&gt;&gt;</t>
  </si>
  <si>
    <t>IBVS 5871</t>
  </si>
  <si>
    <t>Add cycle</t>
  </si>
  <si>
    <t>Old Cycle</t>
  </si>
  <si>
    <t>IBVS 5960</t>
  </si>
  <si>
    <t>IBVS 6093</t>
  </si>
  <si>
    <t>NR Cep / GSC 4299-1910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</si>
  <si>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</si>
  <si>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</si>
  <si>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</si>
  <si>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</si>
  <si>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</si>
  <si>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</si>
  <si>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</si>
  <si>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</si>
  <si>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</si>
  <si>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</si>
  <si>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</si>
  <si>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</si>
  <si>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2438289.576 </t>
  </si>
  <si>
    <t> 17.09.1963 01:49 </t>
  </si>
  <si>
    <t> 0.000 </t>
  </si>
  <si>
    <t>P </t>
  </si>
  <si>
    <t> N.B.Perova </t>
  </si>
  <si>
    <t> PZP 2.79 </t>
  </si>
  <si>
    <t>2438293.385 </t>
  </si>
  <si>
    <t> 20.09.1963 21:14 </t>
  </si>
  <si>
    <t> 0.011 </t>
  </si>
  <si>
    <t>2438299.522 </t>
  </si>
  <si>
    <t> 27.09.1963 00:31 </t>
  </si>
  <si>
    <t> -0.024 </t>
  </si>
  <si>
    <t>2438317.563 </t>
  </si>
  <si>
    <t> 15.10.1963 01:30 </t>
  </si>
  <si>
    <t> -0.025 </t>
  </si>
  <si>
    <t>2438320.467 </t>
  </si>
  <si>
    <t> 17.10.1963 23:12 </t>
  </si>
  <si>
    <t> 0.031 </t>
  </si>
  <si>
    <t> PZP 2.80 </t>
  </si>
  <si>
    <t>2438322.376 </t>
  </si>
  <si>
    <t> 19.10.1963 21:01 </t>
  </si>
  <si>
    <t> 0.040 </t>
  </si>
  <si>
    <t>2440506.292 </t>
  </si>
  <si>
    <t> 11.10.1969 19:00 </t>
  </si>
  <si>
    <t> -0.013 </t>
  </si>
  <si>
    <t>2441210.423 </t>
  </si>
  <si>
    <t> 15.09.1971 22:09 </t>
  </si>
  <si>
    <t> 0.025 </t>
  </si>
  <si>
    <t>2441212.294 </t>
  </si>
  <si>
    <t> 17.09.1971 19:03 </t>
  </si>
  <si>
    <t> PZP 2.81 </t>
  </si>
  <si>
    <t>2441220.376 </t>
  </si>
  <si>
    <t> 25.09.1971 21:01 </t>
  </si>
  <si>
    <t> 0.008 </t>
  </si>
  <si>
    <t>2449399.3151 </t>
  </si>
  <si>
    <t> 15.02.1994 19:33 </t>
  </si>
  <si>
    <t> -0.0193 </t>
  </si>
  <si>
    <t>E </t>
  </si>
  <si>
    <t>o</t>
  </si>
  <si>
    <t> F.Agerer </t>
  </si>
  <si>
    <t>BAVM 68 </t>
  </si>
  <si>
    <t>2450320.378 </t>
  </si>
  <si>
    <t> 24.08.1996 21:04 </t>
  </si>
  <si>
    <t> -0.022 </t>
  </si>
  <si>
    <t>?</t>
  </si>
  <si>
    <t> R.Diethelm </t>
  </si>
  <si>
    <t> BBS 113 </t>
  </si>
  <si>
    <t>2450675.5113 </t>
  </si>
  <si>
    <t> 15.08.1997 00:16 </t>
  </si>
  <si>
    <t> -0.0210 </t>
  </si>
  <si>
    <t> BBS 115 </t>
  </si>
  <si>
    <t>2452135.4309 </t>
  </si>
  <si>
    <t> 13.08.2001 22:20 </t>
  </si>
  <si>
    <t> -0.0376 </t>
  </si>
  <si>
    <t> BBS 126 </t>
  </si>
  <si>
    <t>2452190.507 </t>
  </si>
  <si>
    <t> 08.10.2001 00:10 </t>
  </si>
  <si>
    <t> -0.036 </t>
  </si>
  <si>
    <t>2452483.4502 </t>
  </si>
  <si>
    <t> 27.07.2002 22:48 </t>
  </si>
  <si>
    <t> -0.0291 </t>
  </si>
  <si>
    <t>-I</t>
  </si>
  <si>
    <t> K.&amp; M.Rätz </t>
  </si>
  <si>
    <t>BAVM 158 </t>
  </si>
  <si>
    <t>2452693.2951 </t>
  </si>
  <si>
    <t> 22.02.2003 19:04 </t>
  </si>
  <si>
    <t>15169</t>
  </si>
  <si>
    <t> -0.0352 </t>
  </si>
  <si>
    <t> E.Blättler </t>
  </si>
  <si>
    <t> BBS 129 </t>
  </si>
  <si>
    <t>2452878.4561 </t>
  </si>
  <si>
    <t> 26.08.2003 22:56 </t>
  </si>
  <si>
    <t>15364</t>
  </si>
  <si>
    <t> -0.0368 </t>
  </si>
  <si>
    <t>BAVM 172 </t>
  </si>
  <si>
    <t>2453365.5746 </t>
  </si>
  <si>
    <t> 26.12.2004 01:47 </t>
  </si>
  <si>
    <t>15877</t>
  </si>
  <si>
    <t> -0.0385 </t>
  </si>
  <si>
    <t> T. Krajci </t>
  </si>
  <si>
    <t>IBVS 5690 </t>
  </si>
  <si>
    <t>2454047.8227 </t>
  </si>
  <si>
    <t> 08.11.2006 07:44 </t>
  </si>
  <si>
    <t>16595.5</t>
  </si>
  <si>
    <t> -0.0435 </t>
  </si>
  <si>
    <t>C </t>
  </si>
  <si>
    <t> T.Krajci </t>
  </si>
  <si>
    <t>IBVS 5806 </t>
  </si>
  <si>
    <t>2454774.6995 </t>
  </si>
  <si>
    <t> 04.11.2008 04:47 </t>
  </si>
  <si>
    <t>17361</t>
  </si>
  <si>
    <t> -0.0488 </t>
  </si>
  <si>
    <t>IBVS 5871 </t>
  </si>
  <si>
    <t>2455060.5145 </t>
  </si>
  <si>
    <t> 17.08.2009 00:20 </t>
  </si>
  <si>
    <t>17662</t>
  </si>
  <si>
    <t> -0.0489 </t>
  </si>
  <si>
    <t>BAVM 212 </t>
  </si>
  <si>
    <t>2455517.7204 </t>
  </si>
  <si>
    <t> 17.11.2010 05:17 </t>
  </si>
  <si>
    <t>18143.5</t>
  </si>
  <si>
    <t> -0.0523 </t>
  </si>
  <si>
    <t>IBVS 5960 </t>
  </si>
  <si>
    <t>2456569.8168 </t>
  </si>
  <si>
    <t> 04.10.2013 07:36 </t>
  </si>
  <si>
    <t>19251.5</t>
  </si>
  <si>
    <t> -0.0595 </t>
  </si>
  <si>
    <t>IBVS 6093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</si>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</sst>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8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176" fontId="21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NR Cep - O-C Diagr.</a:t>
            </a:r>
          </a:p>
        </c:rich>
      </c:tx>
      <c:layout>
        <c:manualLayout>
          <c:xMode val="edge"/>
          <c:yMode val="edge"/>
          <c:x val="0.3539331740835766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7632105922477"/>
          <c:y val="0.14769252958613219"/>
          <c:w val="0.7827729670912465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  <c:pt idx="1">
                  <c:v>1.0792000000947155E-2</c:v>
                </c:pt>
                <c:pt idx="2">
                  <c:v>-2.4296000003232621E-2</c:v>
                </c:pt>
                <c:pt idx="3">
                  <c:v>-2.4784000001091044E-2</c:v>
                </c:pt>
                <c:pt idx="4">
                  <c:v>3.0559999999240972E-2</c:v>
                </c:pt>
                <c:pt idx="5">
                  <c:v>4.0455999995174352E-2</c:v>
                </c:pt>
                <c:pt idx="6">
                  <c:v>-1.3143999996827915E-2</c:v>
                </c:pt>
                <c:pt idx="7">
                  <c:v>2.5048000003152993E-2</c:v>
                </c:pt>
                <c:pt idx="8">
                  <c:v>-3.0560000013792887E-3</c:v>
                </c:pt>
                <c:pt idx="9">
                  <c:v>7.7519999977084808E-3</c:v>
                </c:pt>
                <c:pt idx="16">
                  <c:v>-3.5503999999491498E-2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5D-4301-AC8E-0A4193C245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1">
                  <c:v>-2.1840000001247972E-2</c:v>
                </c:pt>
                <c:pt idx="12">
                  <c:v>-2.1288000003551133E-2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5D-4301-AC8E-0A4193C245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">
                  <c:v>-1.9299999999930151E-2</c:v>
                </c:pt>
                <c:pt idx="13">
                  <c:v>-2.0988000003853813E-2</c:v>
                </c:pt>
                <c:pt idx="14">
                  <c:v>-2.9340000000956934E-2</c:v>
                </c:pt>
                <c:pt idx="15">
                  <c:v>-3.7587999999232125E-2</c:v>
                </c:pt>
                <c:pt idx="17">
                  <c:v>-2.9095999998389743E-2</c:v>
                </c:pt>
                <c:pt idx="19">
                  <c:v>-3.6827999996603467E-2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5D-4301-AC8E-0A4193C245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">
                  <c:v>-3.5187999994377606E-2</c:v>
                </c:pt>
                <c:pt idx="20">
                  <c:v>-3.8504000003740657E-2</c:v>
                </c:pt>
                <c:pt idx="21">
                  <c:v>-4.351600009977119E-2</c:v>
                </c:pt>
                <c:pt idx="22">
                  <c:v>-4.8771999994642101E-2</c:v>
                </c:pt>
                <c:pt idx="23">
                  <c:v>-4.892400000244379E-2</c:v>
                </c:pt>
                <c:pt idx="24">
                  <c:v>-5.2312000007077586E-2</c:v>
                </c:pt>
                <c:pt idx="25">
                  <c:v>-5.9527999997953884E-2</c:v>
                </c:pt>
                <c:pt idx="26">
                  <c:v>-7.1079999943322036E-2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5D-4301-AC8E-0A4193C245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5D-4301-AC8E-0A4193C245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5D-4301-AC8E-0A4193C245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5D-4301-AC8E-0A4193C245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4.631484671809287E-2</c:v>
                </c:pt>
                <c:pt idx="1">
                  <c:v>4.6293304811366807E-2</c:v>
                </c:pt>
                <c:pt idx="2">
                  <c:v>4.6258299212936956E-2</c:v>
                </c:pt>
                <c:pt idx="3">
                  <c:v>4.6155975155988148E-2</c:v>
                </c:pt>
                <c:pt idx="4">
                  <c:v>4.6139818725943603E-2</c:v>
                </c:pt>
                <c:pt idx="5">
                  <c:v>4.6129047772580568E-2</c:v>
                </c:pt>
                <c:pt idx="6">
                  <c:v>3.3742451405094007E-2</c:v>
                </c:pt>
                <c:pt idx="7">
                  <c:v>2.9749120445749969E-2</c:v>
                </c:pt>
                <c:pt idx="8">
                  <c:v>2.9738349492386934E-2</c:v>
                </c:pt>
                <c:pt idx="9">
                  <c:v>2.9692572940594051E-2</c:v>
                </c:pt>
                <c:pt idx="10">
                  <c:v>-1.669523045564314E-2</c:v>
                </c:pt>
                <c:pt idx="11">
                  <c:v>-2.1919142836713562E-2</c:v>
                </c:pt>
                <c:pt idx="12">
                  <c:v>-2.39333111156005E-2</c:v>
                </c:pt>
                <c:pt idx="13">
                  <c:v>-2.39333111156005E-2</c:v>
                </c:pt>
                <c:pt idx="14">
                  <c:v>-2.8516351771570539E-2</c:v>
                </c:pt>
                <c:pt idx="15">
                  <c:v>-3.2213481513431202E-2</c:v>
                </c:pt>
                <c:pt idx="16">
                  <c:v>-3.2525839160959122E-2</c:v>
                </c:pt>
                <c:pt idx="17">
                  <c:v>-3.4187258717206778E-2</c:v>
                </c:pt>
                <c:pt idx="18">
                  <c:v>-3.5377449063821786E-2</c:v>
                </c:pt>
                <c:pt idx="19">
                  <c:v>-3.6427617016717387E-2</c:v>
                </c:pt>
                <c:pt idx="20">
                  <c:v>-3.919036655433504E-2</c:v>
                </c:pt>
                <c:pt idx="21">
                  <c:v>-4.3059831550004216E-2</c:v>
                </c:pt>
                <c:pt idx="22">
                  <c:v>-4.7182413949704641E-2</c:v>
                </c:pt>
                <c:pt idx="23">
                  <c:v>-4.8803442430840921E-2</c:v>
                </c:pt>
                <c:pt idx="24">
                  <c:v>-5.1396549452990825E-2</c:v>
                </c:pt>
                <c:pt idx="25">
                  <c:v>-5.7363657616110439E-2</c:v>
                </c:pt>
                <c:pt idx="26">
                  <c:v>-7.4265976181048091E-2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5D-4301-AC8E-0A4193C24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22752"/>
        <c:axId val="1"/>
      </c:scatterChart>
      <c:valAx>
        <c:axId val="511922752"/>
        <c:scaling>
          <c:orientation val="minMax"/>
          <c:max val="18000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455523115790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0731270950681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92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04888574321469"/>
          <c:y val="0.92000129214617399"/>
          <c:w val="0.78277291181298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NR Cep - O-C Diagr.</a:t>
            </a:r>
          </a:p>
        </c:rich>
      </c:tx>
      <c:layout>
        <c:manualLayout>
          <c:xMode val="edge"/>
          <c:yMode val="edge"/>
          <c:x val="0.3551405793901930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87864967750592"/>
          <c:y val="0.14723926380368099"/>
          <c:w val="0.7831782848808820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  <c:pt idx="1">
                  <c:v>1.0792000000947155E-2</c:v>
                </c:pt>
                <c:pt idx="2">
                  <c:v>-2.4296000003232621E-2</c:v>
                </c:pt>
                <c:pt idx="3">
                  <c:v>-2.4784000001091044E-2</c:v>
                </c:pt>
                <c:pt idx="4">
                  <c:v>3.0559999999240972E-2</c:v>
                </c:pt>
                <c:pt idx="5">
                  <c:v>4.0455999995174352E-2</c:v>
                </c:pt>
                <c:pt idx="6">
                  <c:v>-1.3143999996827915E-2</c:v>
                </c:pt>
                <c:pt idx="7">
                  <c:v>2.5048000003152993E-2</c:v>
                </c:pt>
                <c:pt idx="8">
                  <c:v>-3.0560000013792887E-3</c:v>
                </c:pt>
                <c:pt idx="9">
                  <c:v>7.7519999977084808E-3</c:v>
                </c:pt>
                <c:pt idx="16">
                  <c:v>-3.5503999999491498E-2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9D-4DE1-ABCE-5B8076F945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1">
                  <c:v>-2.1840000001247972E-2</c:v>
                </c:pt>
                <c:pt idx="12">
                  <c:v>-2.1288000003551133E-2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9D-4DE1-ABCE-5B8076F945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">
                  <c:v>-1.9299999999930151E-2</c:v>
                </c:pt>
                <c:pt idx="13">
                  <c:v>-2.0988000003853813E-2</c:v>
                </c:pt>
                <c:pt idx="14">
                  <c:v>-2.9340000000956934E-2</c:v>
                </c:pt>
                <c:pt idx="15">
                  <c:v>-3.7587999999232125E-2</c:v>
                </c:pt>
                <c:pt idx="17">
                  <c:v>-2.9095999998389743E-2</c:v>
                </c:pt>
                <c:pt idx="19">
                  <c:v>-3.6827999996603467E-2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9D-4DE1-ABCE-5B8076F945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">
                  <c:v>-3.5187999994377606E-2</c:v>
                </c:pt>
                <c:pt idx="20">
                  <c:v>-3.8504000003740657E-2</c:v>
                </c:pt>
                <c:pt idx="21">
                  <c:v>-4.351600009977119E-2</c:v>
                </c:pt>
                <c:pt idx="22">
                  <c:v>-4.8771999994642101E-2</c:v>
                </c:pt>
                <c:pt idx="23">
                  <c:v>-4.892400000244379E-2</c:v>
                </c:pt>
                <c:pt idx="24">
                  <c:v>-5.2312000007077586E-2</c:v>
                </c:pt>
                <c:pt idx="25">
                  <c:v>-5.9527999997953884E-2</c:v>
                </c:pt>
                <c:pt idx="26">
                  <c:v>-7.1079999943322036E-2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9D-4DE1-ABCE-5B8076F945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9D-4DE1-ABCE-5B8076F945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9D-4DE1-ABCE-5B8076F945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2E-3</c:v>
                  </c:pt>
                  <c:pt idx="12">
                    <c:v>1.5E-3</c:v>
                  </c:pt>
                  <c:pt idx="13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9D-4DE1-ABCE-5B8076F945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</c:v>
                </c:pt>
                <c:pt idx="2">
                  <c:v>10.5</c:v>
                </c:pt>
                <c:pt idx="3">
                  <c:v>29.5</c:v>
                </c:pt>
                <c:pt idx="4">
                  <c:v>32.5</c:v>
                </c:pt>
                <c:pt idx="5">
                  <c:v>34.5</c:v>
                </c:pt>
                <c:pt idx="6">
                  <c:v>2334.5</c:v>
                </c:pt>
                <c:pt idx="7">
                  <c:v>3076</c:v>
                </c:pt>
                <c:pt idx="8">
                  <c:v>3078</c:v>
                </c:pt>
                <c:pt idx="9">
                  <c:v>3086.5</c:v>
                </c:pt>
                <c:pt idx="10">
                  <c:v>11700</c:v>
                </c:pt>
                <c:pt idx="11">
                  <c:v>12670</c:v>
                </c:pt>
                <c:pt idx="12">
                  <c:v>13044</c:v>
                </c:pt>
                <c:pt idx="13">
                  <c:v>13044</c:v>
                </c:pt>
                <c:pt idx="14">
                  <c:v>13895</c:v>
                </c:pt>
                <c:pt idx="15">
                  <c:v>14581.5</c:v>
                </c:pt>
                <c:pt idx="16">
                  <c:v>14639.5</c:v>
                </c:pt>
                <c:pt idx="17">
                  <c:v>14948</c:v>
                </c:pt>
                <c:pt idx="18">
                  <c:v>15169</c:v>
                </c:pt>
                <c:pt idx="19">
                  <c:v>15364</c:v>
                </c:pt>
                <c:pt idx="20">
                  <c:v>15877</c:v>
                </c:pt>
                <c:pt idx="21">
                  <c:v>16595.5</c:v>
                </c:pt>
                <c:pt idx="22">
                  <c:v>17361</c:v>
                </c:pt>
                <c:pt idx="23">
                  <c:v>17662</c:v>
                </c:pt>
                <c:pt idx="24">
                  <c:v>18143.5</c:v>
                </c:pt>
                <c:pt idx="25">
                  <c:v>19251.5</c:v>
                </c:pt>
                <c:pt idx="26">
                  <c:v>22390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4.631484671809287E-2</c:v>
                </c:pt>
                <c:pt idx="1">
                  <c:v>4.6293304811366807E-2</c:v>
                </c:pt>
                <c:pt idx="2">
                  <c:v>4.6258299212936956E-2</c:v>
                </c:pt>
                <c:pt idx="3">
                  <c:v>4.6155975155988148E-2</c:v>
                </c:pt>
                <c:pt idx="4">
                  <c:v>4.6139818725943603E-2</c:v>
                </c:pt>
                <c:pt idx="5">
                  <c:v>4.6129047772580568E-2</c:v>
                </c:pt>
                <c:pt idx="6">
                  <c:v>3.3742451405094007E-2</c:v>
                </c:pt>
                <c:pt idx="7">
                  <c:v>2.9749120445749969E-2</c:v>
                </c:pt>
                <c:pt idx="8">
                  <c:v>2.9738349492386934E-2</c:v>
                </c:pt>
                <c:pt idx="9">
                  <c:v>2.9692572940594051E-2</c:v>
                </c:pt>
                <c:pt idx="10">
                  <c:v>-1.669523045564314E-2</c:v>
                </c:pt>
                <c:pt idx="11">
                  <c:v>-2.1919142836713562E-2</c:v>
                </c:pt>
                <c:pt idx="12">
                  <c:v>-2.39333111156005E-2</c:v>
                </c:pt>
                <c:pt idx="13">
                  <c:v>-2.39333111156005E-2</c:v>
                </c:pt>
                <c:pt idx="14">
                  <c:v>-2.8516351771570539E-2</c:v>
                </c:pt>
                <c:pt idx="15">
                  <c:v>-3.2213481513431202E-2</c:v>
                </c:pt>
                <c:pt idx="16">
                  <c:v>-3.2525839160959122E-2</c:v>
                </c:pt>
                <c:pt idx="17">
                  <c:v>-3.4187258717206778E-2</c:v>
                </c:pt>
                <c:pt idx="18">
                  <c:v>-3.5377449063821786E-2</c:v>
                </c:pt>
                <c:pt idx="19">
                  <c:v>-3.6427617016717387E-2</c:v>
                </c:pt>
                <c:pt idx="20">
                  <c:v>-3.919036655433504E-2</c:v>
                </c:pt>
                <c:pt idx="21">
                  <c:v>-4.3059831550004216E-2</c:v>
                </c:pt>
                <c:pt idx="22">
                  <c:v>-4.7182413949704641E-2</c:v>
                </c:pt>
                <c:pt idx="23">
                  <c:v>-4.8803442430840921E-2</c:v>
                </c:pt>
                <c:pt idx="24">
                  <c:v>-5.1396549452990825E-2</c:v>
                </c:pt>
                <c:pt idx="25">
                  <c:v>-5.7363657616110439E-2</c:v>
                </c:pt>
                <c:pt idx="26">
                  <c:v>-7.4265976181048091E-2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9D-4DE1-ABCE-5B8076F94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686272"/>
        <c:axId val="1"/>
      </c:scatterChart>
      <c:valAx>
        <c:axId val="509686272"/>
        <c:scaling>
          <c:orientation val="minMax"/>
          <c:max val="18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648784556136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0560747663551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686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74785978855446"/>
          <c:y val="0.92024539877300615"/>
          <c:w val="0.7813091961635636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38100</xdr:rowOff>
    </xdr:from>
    <xdr:to>
      <xdr:col>15</xdr:col>
      <xdr:colOff>19050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4642899-CFFC-BD48-5FBD-FB832BE8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0</xdr:row>
      <xdr:rowOff>0</xdr:rowOff>
    </xdr:from>
    <xdr:to>
      <xdr:col>22</xdr:col>
      <xdr:colOff>561975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3134B57-0451-A22B-2303-F9A4AB102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konkoly.hu/cgi-bin/IBVS?5806" TargetMode="External"/><Relationship Id="rId4" Type="http://schemas.openxmlformats.org/officeDocument/2006/relationships/hyperlink" Target="http://www.konkoly.hu/cgi-bin/IBVS?5690" TargetMode="External"/><Relationship Id="rId9" Type="http://schemas.openxmlformats.org/officeDocument/2006/relationships/hyperlink" Target="http://www.konkoly.hu/cgi-bin/IBVS?6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4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24</v>
      </c>
      <c r="B2" s="9" t="s">
        <v>36</v>
      </c>
    </row>
    <row r="4" spans="1:6" ht="14.25" thickTop="1" thickBot="1" x14ac:dyDescent="0.25">
      <c r="A4" s="6" t="s">
        <v>0</v>
      </c>
      <c r="C4" s="3">
        <v>38289.576000000001</v>
      </c>
      <c r="D4" s="4">
        <v>0.94955199999999995</v>
      </c>
    </row>
    <row r="5" spans="1:6" ht="13.5" thickTop="1" x14ac:dyDescent="0.2">
      <c r="A5" s="16" t="s">
        <v>41</v>
      </c>
      <c r="B5" s="17"/>
      <c r="C5" s="18">
        <v>-9.5</v>
      </c>
      <c r="D5" s="17" t="s">
        <v>42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38289.576000000001</v>
      </c>
    </row>
    <row r="8" spans="1:6" x14ac:dyDescent="0.2">
      <c r="A8" t="s">
        <v>3</v>
      </c>
      <c r="C8">
        <f>+D4</f>
        <v>0.94955199999999995</v>
      </c>
    </row>
    <row r="9" spans="1:6" x14ac:dyDescent="0.2">
      <c r="A9" s="35" t="s">
        <v>48</v>
      </c>
      <c r="B9" s="36">
        <v>32</v>
      </c>
      <c r="C9" s="34" t="str">
        <f>"F"&amp;B9</f>
        <v>F32</v>
      </c>
      <c r="D9" s="12" t="str">
        <f>"G"&amp;B9</f>
        <v>G32</v>
      </c>
    </row>
    <row r="10" spans="1:6" ht="13.5" thickBot="1" x14ac:dyDescent="0.25">
      <c r="A10" s="17"/>
      <c r="B10" s="17"/>
      <c r="C10" s="5" t="s">
        <v>20</v>
      </c>
      <c r="D10" s="5" t="s">
        <v>21</v>
      </c>
      <c r="E10" s="17"/>
    </row>
    <row r="11" spans="1:6" x14ac:dyDescent="0.2">
      <c r="A11" s="17" t="s">
        <v>16</v>
      </c>
      <c r="B11" s="17"/>
      <c r="C11" s="33">
        <f ca="1">INTERCEPT(INDIRECT($D$9):G988,INDIRECT($C$9):F988)</f>
        <v>4.631484671809287E-2</v>
      </c>
      <c r="D11" s="19"/>
      <c r="E11" s="17"/>
    </row>
    <row r="12" spans="1:6" x14ac:dyDescent="0.2">
      <c r="A12" s="17" t="s">
        <v>17</v>
      </c>
      <c r="B12" s="17"/>
      <c r="C12" s="33">
        <f ca="1">SLOPE(INDIRECT($D$9):G988,INDIRECT($C$9):F988)</f>
        <v>-5.3854766815158981E-6</v>
      </c>
      <c r="D12" s="19"/>
      <c r="E12" s="17"/>
    </row>
    <row r="13" spans="1:6" x14ac:dyDescent="0.2">
      <c r="A13" s="17" t="s">
        <v>19</v>
      </c>
      <c r="B13" s="17"/>
      <c r="C13" s="19" t="s">
        <v>14</v>
      </c>
    </row>
    <row r="14" spans="1:6" x14ac:dyDescent="0.2">
      <c r="A14" s="17"/>
      <c r="B14" s="17"/>
      <c r="C14" s="17"/>
    </row>
    <row r="15" spans="1:6" x14ac:dyDescent="0.2">
      <c r="A15" s="20" t="s">
        <v>18</v>
      </c>
      <c r="B15" s="17"/>
      <c r="C15" s="21">
        <f ca="1">(C7+C11)+(C8+C12)*INT(MAX(F21:F3529))</f>
        <v>59549.971014023817</v>
      </c>
      <c r="E15" s="22" t="s">
        <v>50</v>
      </c>
      <c r="F15" s="18">
        <v>1</v>
      </c>
    </row>
    <row r="16" spans="1:6" x14ac:dyDescent="0.2">
      <c r="A16" s="24" t="s">
        <v>4</v>
      </c>
      <c r="B16" s="17"/>
      <c r="C16" s="25">
        <f ca="1">+C8+C12</f>
        <v>0.94954661452331846</v>
      </c>
      <c r="E16" s="22" t="s">
        <v>43</v>
      </c>
      <c r="F16" s="23">
        <f ca="1">NOW()+15018.5+$C$5/24</f>
        <v>60175.822207291661</v>
      </c>
    </row>
    <row r="17" spans="1:32" ht="13.5" thickBot="1" x14ac:dyDescent="0.25">
      <c r="A17" s="22" t="s">
        <v>40</v>
      </c>
      <c r="B17" s="17"/>
      <c r="C17" s="17">
        <f>COUNT(C21:C2187)</f>
        <v>27</v>
      </c>
      <c r="E17" s="22" t="s">
        <v>51</v>
      </c>
      <c r="F17" s="23">
        <f ca="1">ROUND(2*(F16-$C$7)/$C$8,0)/2+F15</f>
        <v>23050</v>
      </c>
    </row>
    <row r="18" spans="1:32" ht="14.25" thickTop="1" thickBot="1" x14ac:dyDescent="0.25">
      <c r="A18" s="24" t="s">
        <v>5</v>
      </c>
      <c r="B18" s="17"/>
      <c r="C18" s="27">
        <f ca="1">+C15</f>
        <v>59549.971014023817</v>
      </c>
      <c r="D18" s="28">
        <f ca="1">+C16</f>
        <v>0.94954661452331846</v>
      </c>
      <c r="E18" s="22" t="s">
        <v>44</v>
      </c>
      <c r="F18" s="12">
        <f ca="1">ROUND(2*(F16-$C$15)/$C$16,0)/2+F15</f>
        <v>660</v>
      </c>
    </row>
    <row r="19" spans="1:32" ht="13.5" thickTop="1" x14ac:dyDescent="0.2">
      <c r="E19" s="22" t="s">
        <v>45</v>
      </c>
      <c r="F19" s="26">
        <f ca="1">+$C$15+$C$16*F18-15018.5-$C$5/24</f>
        <v>45158.567612942541</v>
      </c>
    </row>
    <row r="20" spans="1:32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62</v>
      </c>
      <c r="I20" s="8" t="s">
        <v>65</v>
      </c>
      <c r="J20" s="8" t="s">
        <v>59</v>
      </c>
      <c r="K20" s="8" t="s">
        <v>57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2" x14ac:dyDescent="0.2">
      <c r="A21" t="s">
        <v>12</v>
      </c>
      <c r="C21" s="29">
        <v>38289.576000000001</v>
      </c>
      <c r="D21" s="29" t="s">
        <v>14</v>
      </c>
      <c r="E21">
        <f t="shared" ref="E21:E46" si="0">+(C21-C$7)/C$8</f>
        <v>0</v>
      </c>
      <c r="F21">
        <f t="shared" ref="F21:F46" si="1">ROUND(2*E21,0)/2</f>
        <v>0</v>
      </c>
      <c r="H21" s="12">
        <v>0</v>
      </c>
      <c r="O21">
        <f t="shared" ref="O21:O46" ca="1" si="2">+C$11+C$12*F21</f>
        <v>4.631484671809287E-2</v>
      </c>
      <c r="Q21" s="2">
        <f t="shared" ref="Q21:Q46" si="3">+C21-15018.5</f>
        <v>23271.076000000001</v>
      </c>
    </row>
    <row r="22" spans="1:32" x14ac:dyDescent="0.2">
      <c r="A22" s="57" t="s">
        <v>72</v>
      </c>
      <c r="B22" s="58" t="s">
        <v>39</v>
      </c>
      <c r="C22" s="57">
        <v>38293.385000000002</v>
      </c>
      <c r="D22" s="57" t="s">
        <v>65</v>
      </c>
      <c r="E22">
        <f t="shared" si="0"/>
        <v>4.0113653596655121</v>
      </c>
      <c r="F22">
        <f t="shared" si="1"/>
        <v>4</v>
      </c>
      <c r="G22">
        <f t="shared" ref="G22:G46" si="4">+C22-(C$7+F22*C$8)</f>
        <v>1.0792000000947155E-2</v>
      </c>
      <c r="H22">
        <f t="shared" ref="H22:H30" si="5">G22</f>
        <v>1.0792000000947155E-2</v>
      </c>
      <c r="O22">
        <f t="shared" ca="1" si="2"/>
        <v>4.6293304811366807E-2</v>
      </c>
      <c r="Q22" s="2">
        <f t="shared" si="3"/>
        <v>23274.885000000002</v>
      </c>
    </row>
    <row r="23" spans="1:32" x14ac:dyDescent="0.2">
      <c r="A23" s="57" t="s">
        <v>72</v>
      </c>
      <c r="B23" s="58" t="s">
        <v>47</v>
      </c>
      <c r="C23" s="57">
        <v>38299.521999999997</v>
      </c>
      <c r="D23" s="57" t="s">
        <v>65</v>
      </c>
      <c r="E23">
        <f t="shared" si="0"/>
        <v>10.474413196956329</v>
      </c>
      <c r="F23">
        <f t="shared" si="1"/>
        <v>10.5</v>
      </c>
      <c r="G23">
        <f t="shared" si="4"/>
        <v>-2.4296000003232621E-2</v>
      </c>
      <c r="H23">
        <f t="shared" si="5"/>
        <v>-2.4296000003232621E-2</v>
      </c>
      <c r="O23">
        <f t="shared" ca="1" si="2"/>
        <v>4.6258299212936956E-2</v>
      </c>
      <c r="Q23" s="2">
        <f t="shared" si="3"/>
        <v>23281.021999999997</v>
      </c>
    </row>
    <row r="24" spans="1:32" x14ac:dyDescent="0.2">
      <c r="A24" s="57" t="s">
        <v>72</v>
      </c>
      <c r="B24" s="58" t="s">
        <v>47</v>
      </c>
      <c r="C24" s="57">
        <v>38317.563000000002</v>
      </c>
      <c r="D24" s="57" t="s">
        <v>65</v>
      </c>
      <c r="E24">
        <f t="shared" si="0"/>
        <v>29.473899270393819</v>
      </c>
      <c r="F24">
        <f t="shared" si="1"/>
        <v>29.5</v>
      </c>
      <c r="G24">
        <f t="shared" si="4"/>
        <v>-2.4784000001091044E-2</v>
      </c>
      <c r="H24">
        <f t="shared" si="5"/>
        <v>-2.4784000001091044E-2</v>
      </c>
      <c r="O24">
        <f t="shared" ca="1" si="2"/>
        <v>4.6155975155988148E-2</v>
      </c>
      <c r="Q24" s="2">
        <f t="shared" si="3"/>
        <v>23299.063000000002</v>
      </c>
    </row>
    <row r="25" spans="1:32" x14ac:dyDescent="0.2">
      <c r="A25" s="57" t="s">
        <v>85</v>
      </c>
      <c r="B25" s="58" t="s">
        <v>47</v>
      </c>
      <c r="C25" s="57">
        <v>38320.466999999997</v>
      </c>
      <c r="D25" s="57" t="s">
        <v>65</v>
      </c>
      <c r="E25">
        <f t="shared" si="0"/>
        <v>32.532183598155747</v>
      </c>
      <c r="F25">
        <f t="shared" si="1"/>
        <v>32.5</v>
      </c>
      <c r="G25">
        <f t="shared" si="4"/>
        <v>3.0559999999240972E-2</v>
      </c>
      <c r="H25">
        <f t="shared" si="5"/>
        <v>3.0559999999240972E-2</v>
      </c>
      <c r="O25">
        <f t="shared" ca="1" si="2"/>
        <v>4.6139818725943603E-2</v>
      </c>
      <c r="Q25" s="2">
        <f t="shared" si="3"/>
        <v>23301.966999999997</v>
      </c>
    </row>
    <row r="26" spans="1:32" x14ac:dyDescent="0.2">
      <c r="A26" s="57" t="s">
        <v>85</v>
      </c>
      <c r="B26" s="58" t="s">
        <v>47</v>
      </c>
      <c r="C26" s="57">
        <v>38322.375999999997</v>
      </c>
      <c r="D26" s="57" t="s">
        <v>65</v>
      </c>
      <c r="E26">
        <f t="shared" si="0"/>
        <v>34.542605354941735</v>
      </c>
      <c r="F26">
        <f t="shared" si="1"/>
        <v>34.5</v>
      </c>
      <c r="G26">
        <f t="shared" si="4"/>
        <v>4.0455999995174352E-2</v>
      </c>
      <c r="H26">
        <f t="shared" si="5"/>
        <v>4.0455999995174352E-2</v>
      </c>
      <c r="O26">
        <f t="shared" ca="1" si="2"/>
        <v>4.6129047772580568E-2</v>
      </c>
      <c r="Q26" s="2">
        <f t="shared" si="3"/>
        <v>23303.875999999997</v>
      </c>
    </row>
    <row r="27" spans="1:32" x14ac:dyDescent="0.2">
      <c r="A27" s="57" t="s">
        <v>85</v>
      </c>
      <c r="B27" s="58" t="s">
        <v>47</v>
      </c>
      <c r="C27" s="57">
        <v>40506.292000000001</v>
      </c>
      <c r="D27" s="57" t="s">
        <v>65</v>
      </c>
      <c r="E27">
        <f t="shared" si="0"/>
        <v>2334.4861576827816</v>
      </c>
      <c r="F27">
        <f t="shared" si="1"/>
        <v>2334.5</v>
      </c>
      <c r="G27">
        <f t="shared" si="4"/>
        <v>-1.3143999996827915E-2</v>
      </c>
      <c r="H27">
        <f t="shared" si="5"/>
        <v>-1.3143999996827915E-2</v>
      </c>
      <c r="O27">
        <f t="shared" ca="1" si="2"/>
        <v>3.3742451405094007E-2</v>
      </c>
      <c r="Q27" s="2">
        <f t="shared" si="3"/>
        <v>25487.792000000001</v>
      </c>
    </row>
    <row r="28" spans="1:32" x14ac:dyDescent="0.2">
      <c r="A28" s="57" t="s">
        <v>85</v>
      </c>
      <c r="B28" s="58" t="s">
        <v>39</v>
      </c>
      <c r="C28" s="57">
        <v>41210.423000000003</v>
      </c>
      <c r="D28" s="57" t="s">
        <v>65</v>
      </c>
      <c r="E28">
        <f t="shared" si="0"/>
        <v>3076.0263787554568</v>
      </c>
      <c r="F28">
        <f t="shared" si="1"/>
        <v>3076</v>
      </c>
      <c r="G28">
        <f t="shared" si="4"/>
        <v>2.5048000003152993E-2</v>
      </c>
      <c r="H28">
        <f t="shared" si="5"/>
        <v>2.5048000003152993E-2</v>
      </c>
      <c r="O28">
        <f t="shared" ca="1" si="2"/>
        <v>2.9749120445749969E-2</v>
      </c>
      <c r="Q28" s="2">
        <f t="shared" si="3"/>
        <v>26191.923000000003</v>
      </c>
    </row>
    <row r="29" spans="1:32" x14ac:dyDescent="0.2">
      <c r="A29" s="57" t="s">
        <v>97</v>
      </c>
      <c r="B29" s="58" t="s">
        <v>39</v>
      </c>
      <c r="C29" s="57">
        <v>41212.294000000002</v>
      </c>
      <c r="D29" s="57" t="s">
        <v>65</v>
      </c>
      <c r="E29">
        <f t="shared" si="0"/>
        <v>3077.996781640185</v>
      </c>
      <c r="F29">
        <f t="shared" si="1"/>
        <v>3078</v>
      </c>
      <c r="G29">
        <f t="shared" si="4"/>
        <v>-3.0560000013792887E-3</v>
      </c>
      <c r="H29">
        <f t="shared" si="5"/>
        <v>-3.0560000013792887E-3</v>
      </c>
      <c r="O29">
        <f t="shared" ca="1" si="2"/>
        <v>2.9738349492386934E-2</v>
      </c>
      <c r="Q29" s="2">
        <f t="shared" si="3"/>
        <v>26193.794000000002</v>
      </c>
    </row>
    <row r="30" spans="1:32" x14ac:dyDescent="0.2">
      <c r="A30" s="57" t="s">
        <v>97</v>
      </c>
      <c r="B30" s="58" t="s">
        <v>47</v>
      </c>
      <c r="C30" s="57">
        <v>41220.375999999997</v>
      </c>
      <c r="D30" s="57" t="s">
        <v>65</v>
      </c>
      <c r="E30">
        <f t="shared" si="0"/>
        <v>3086.5081638498955</v>
      </c>
      <c r="F30">
        <f t="shared" si="1"/>
        <v>3086.5</v>
      </c>
      <c r="G30">
        <f t="shared" si="4"/>
        <v>7.7519999977084808E-3</v>
      </c>
      <c r="H30">
        <f t="shared" si="5"/>
        <v>7.7519999977084808E-3</v>
      </c>
      <c r="O30">
        <f t="shared" ca="1" si="2"/>
        <v>2.9692572940594051E-2</v>
      </c>
      <c r="Q30" s="2">
        <f t="shared" si="3"/>
        <v>26201.875999999997</v>
      </c>
    </row>
    <row r="31" spans="1:32" x14ac:dyDescent="0.2">
      <c r="A31" s="57" t="s">
        <v>107</v>
      </c>
      <c r="B31" s="58" t="s">
        <v>39</v>
      </c>
      <c r="C31" s="57">
        <v>49399.3151</v>
      </c>
      <c r="D31" s="57" t="s">
        <v>65</v>
      </c>
      <c r="E31">
        <f t="shared" si="0"/>
        <v>11699.979674625507</v>
      </c>
      <c r="F31">
        <f t="shared" si="1"/>
        <v>11700</v>
      </c>
      <c r="G31">
        <f t="shared" si="4"/>
        <v>-1.9299999999930151E-2</v>
      </c>
      <c r="J31">
        <f>G31</f>
        <v>-1.9299999999930151E-2</v>
      </c>
      <c r="O31">
        <f t="shared" ca="1" si="2"/>
        <v>-1.669523045564314E-2</v>
      </c>
      <c r="Q31" s="2">
        <f t="shared" si="3"/>
        <v>34380.8151</v>
      </c>
    </row>
    <row r="32" spans="1:32" x14ac:dyDescent="0.2">
      <c r="A32" t="s">
        <v>30</v>
      </c>
      <c r="C32" s="29">
        <v>50320.377999999997</v>
      </c>
      <c r="D32" s="29">
        <v>2E-3</v>
      </c>
      <c r="E32">
        <f t="shared" si="0"/>
        <v>12669.976999679846</v>
      </c>
      <c r="F32">
        <f t="shared" si="1"/>
        <v>12670</v>
      </c>
      <c r="G32">
        <f t="shared" si="4"/>
        <v>-2.1840000001247972E-2</v>
      </c>
      <c r="I32">
        <f>+G32</f>
        <v>-2.1840000001247972E-2</v>
      </c>
      <c r="O32">
        <f t="shared" ca="1" si="2"/>
        <v>-2.1919142836713562E-2</v>
      </c>
      <c r="Q32" s="2">
        <f t="shared" si="3"/>
        <v>35301.877999999997</v>
      </c>
      <c r="AA32">
        <v>8</v>
      </c>
      <c r="AC32" t="s">
        <v>28</v>
      </c>
      <c r="AD32" t="s">
        <v>29</v>
      </c>
      <c r="AF32" t="s">
        <v>31</v>
      </c>
    </row>
    <row r="33" spans="1:32" x14ac:dyDescent="0.2">
      <c r="A33" t="s">
        <v>32</v>
      </c>
      <c r="C33" s="29">
        <v>50675.510999999999</v>
      </c>
      <c r="D33" s="29">
        <v>1.5E-3</v>
      </c>
      <c r="E33">
        <f t="shared" si="0"/>
        <v>13043.97758100662</v>
      </c>
      <c r="F33">
        <f t="shared" si="1"/>
        <v>13044</v>
      </c>
      <c r="G33">
        <f t="shared" si="4"/>
        <v>-2.1288000003551133E-2</v>
      </c>
      <c r="I33">
        <f>+G33</f>
        <v>-2.1288000003551133E-2</v>
      </c>
      <c r="O33">
        <f t="shared" ca="1" si="2"/>
        <v>-2.39333111156005E-2</v>
      </c>
      <c r="Q33" s="2">
        <f t="shared" si="3"/>
        <v>35657.010999999999</v>
      </c>
      <c r="AA33">
        <v>12</v>
      </c>
      <c r="AC33" t="s">
        <v>28</v>
      </c>
      <c r="AD33" t="s">
        <v>29</v>
      </c>
      <c r="AF33" t="s">
        <v>31</v>
      </c>
    </row>
    <row r="34" spans="1:32" x14ac:dyDescent="0.2">
      <c r="A34" s="57" t="s">
        <v>117</v>
      </c>
      <c r="B34" s="58" t="s">
        <v>39</v>
      </c>
      <c r="C34" s="57">
        <v>50675.511299999998</v>
      </c>
      <c r="D34" s="57" t="s">
        <v>65</v>
      </c>
      <c r="E34">
        <f t="shared" si="0"/>
        <v>13043.977896945084</v>
      </c>
      <c r="F34">
        <f t="shared" si="1"/>
        <v>13044</v>
      </c>
      <c r="G34">
        <f t="shared" si="4"/>
        <v>-2.0988000003853813E-2</v>
      </c>
      <c r="J34">
        <f>G34</f>
        <v>-2.0988000003853813E-2</v>
      </c>
      <c r="O34">
        <f t="shared" ca="1" si="2"/>
        <v>-2.39333111156005E-2</v>
      </c>
      <c r="Q34" s="2">
        <f t="shared" si="3"/>
        <v>35657.011299999998</v>
      </c>
    </row>
    <row r="35" spans="1:32" x14ac:dyDescent="0.2">
      <c r="A35" t="s">
        <v>35</v>
      </c>
      <c r="C35" s="29">
        <v>51483.5717</v>
      </c>
      <c r="D35" s="29">
        <v>3.0000000000000001E-3</v>
      </c>
      <c r="E35">
        <f t="shared" si="0"/>
        <v>13894.969101218259</v>
      </c>
      <c r="F35">
        <f t="shared" si="1"/>
        <v>13895</v>
      </c>
      <c r="G35">
        <f t="shared" si="4"/>
        <v>-2.9340000000956934E-2</v>
      </c>
      <c r="J35">
        <f>G35</f>
        <v>-2.9340000000956934E-2</v>
      </c>
      <c r="O35">
        <f t="shared" ca="1" si="2"/>
        <v>-2.8516351771570539E-2</v>
      </c>
      <c r="Q35" s="2">
        <f t="shared" si="3"/>
        <v>36465.0717</v>
      </c>
    </row>
    <row r="36" spans="1:32" x14ac:dyDescent="0.2">
      <c r="A36" s="57" t="s">
        <v>121</v>
      </c>
      <c r="B36" s="58" t="s">
        <v>47</v>
      </c>
      <c r="C36" s="57">
        <v>52135.430899999999</v>
      </c>
      <c r="D36" s="57" t="s">
        <v>65</v>
      </c>
      <c r="E36">
        <f t="shared" si="0"/>
        <v>14581.460415016765</v>
      </c>
      <c r="F36">
        <f t="shared" si="1"/>
        <v>14581.5</v>
      </c>
      <c r="G36">
        <f t="shared" si="4"/>
        <v>-3.7587999999232125E-2</v>
      </c>
      <c r="J36">
        <f>G36</f>
        <v>-3.7587999999232125E-2</v>
      </c>
      <c r="O36">
        <f t="shared" ca="1" si="2"/>
        <v>-3.2213481513431202E-2</v>
      </c>
      <c r="Q36" s="2">
        <f t="shared" si="3"/>
        <v>37116.930899999999</v>
      </c>
    </row>
    <row r="37" spans="1:32" x14ac:dyDescent="0.2">
      <c r="A37" s="57" t="s">
        <v>121</v>
      </c>
      <c r="B37" s="58" t="s">
        <v>47</v>
      </c>
      <c r="C37" s="57">
        <v>52190.506999999998</v>
      </c>
      <c r="D37" s="57" t="s">
        <v>65</v>
      </c>
      <c r="E37">
        <f t="shared" si="0"/>
        <v>14639.462609735958</v>
      </c>
      <c r="F37">
        <f t="shared" si="1"/>
        <v>14639.5</v>
      </c>
      <c r="G37">
        <f t="shared" si="4"/>
        <v>-3.5503999999491498E-2</v>
      </c>
      <c r="H37">
        <f>G37</f>
        <v>-3.5503999999491498E-2</v>
      </c>
      <c r="O37">
        <f t="shared" ca="1" si="2"/>
        <v>-3.2525839160959122E-2</v>
      </c>
      <c r="Q37" s="2">
        <f t="shared" si="3"/>
        <v>37172.006999999998</v>
      </c>
    </row>
    <row r="38" spans="1:32" x14ac:dyDescent="0.2">
      <c r="A38" t="s">
        <v>33</v>
      </c>
      <c r="C38" s="29">
        <v>52483.450199999999</v>
      </c>
      <c r="D38" s="29">
        <v>8.0000000000000004E-4</v>
      </c>
      <c r="E38">
        <f t="shared" si="0"/>
        <v>14947.969358181541</v>
      </c>
      <c r="F38">
        <f t="shared" si="1"/>
        <v>14948</v>
      </c>
      <c r="G38">
        <f t="shared" si="4"/>
        <v>-2.9095999998389743E-2</v>
      </c>
      <c r="J38">
        <f>+G38</f>
        <v>-2.9095999998389743E-2</v>
      </c>
      <c r="O38">
        <f t="shared" ca="1" si="2"/>
        <v>-3.4187258717206778E-2</v>
      </c>
      <c r="Q38" s="2">
        <f t="shared" si="3"/>
        <v>37464.950199999999</v>
      </c>
    </row>
    <row r="39" spans="1:32" x14ac:dyDescent="0.2">
      <c r="A39" t="s">
        <v>34</v>
      </c>
      <c r="C39" s="29">
        <v>52693.295100000003</v>
      </c>
      <c r="D39" s="29">
        <v>6.9999999999999999E-4</v>
      </c>
      <c r="E39">
        <f t="shared" si="0"/>
        <v>15168.962942524478</v>
      </c>
      <c r="F39">
        <f t="shared" si="1"/>
        <v>15169</v>
      </c>
      <c r="G39">
        <f t="shared" si="4"/>
        <v>-3.5187999994377606E-2</v>
      </c>
      <c r="K39">
        <f>G39</f>
        <v>-3.5187999994377606E-2</v>
      </c>
      <c r="O39">
        <f t="shared" ca="1" si="2"/>
        <v>-3.5377449063821786E-2</v>
      </c>
      <c r="Q39" s="2">
        <f t="shared" si="3"/>
        <v>37674.795100000003</v>
      </c>
    </row>
    <row r="40" spans="1:32" x14ac:dyDescent="0.2">
      <c r="A40" s="10" t="s">
        <v>37</v>
      </c>
      <c r="B40" s="11"/>
      <c r="C40" s="30">
        <v>52878.456100000003</v>
      </c>
      <c r="D40" s="30">
        <v>4.0000000000000002E-4</v>
      </c>
      <c r="E40">
        <f t="shared" si="0"/>
        <v>15363.961215394211</v>
      </c>
      <c r="F40">
        <f t="shared" si="1"/>
        <v>15364</v>
      </c>
      <c r="G40">
        <f t="shared" si="4"/>
        <v>-3.6827999996603467E-2</v>
      </c>
      <c r="J40">
        <f>G40</f>
        <v>-3.6827999996603467E-2</v>
      </c>
      <c r="O40">
        <f t="shared" ca="1" si="2"/>
        <v>-3.6427617016717387E-2</v>
      </c>
      <c r="Q40" s="2">
        <f t="shared" si="3"/>
        <v>37859.956100000003</v>
      </c>
    </row>
    <row r="41" spans="1:32" x14ac:dyDescent="0.2">
      <c r="A41" s="10" t="s">
        <v>38</v>
      </c>
      <c r="B41" s="13" t="s">
        <v>39</v>
      </c>
      <c r="C41" s="31">
        <v>53365.5746</v>
      </c>
      <c r="D41" s="31">
        <v>4.0000000000000002E-4</v>
      </c>
      <c r="E41">
        <f t="shared" si="0"/>
        <v>15876.959450351324</v>
      </c>
      <c r="F41">
        <f t="shared" si="1"/>
        <v>15877</v>
      </c>
      <c r="G41">
        <f t="shared" si="4"/>
        <v>-3.8504000003740657E-2</v>
      </c>
      <c r="K41">
        <f t="shared" ref="K41:K46" si="6">G41</f>
        <v>-3.8504000003740657E-2</v>
      </c>
      <c r="O41">
        <f t="shared" ca="1" si="2"/>
        <v>-3.919036655433504E-2</v>
      </c>
      <c r="Q41" s="2">
        <f t="shared" si="3"/>
        <v>38347.0746</v>
      </c>
    </row>
    <row r="42" spans="1:32" x14ac:dyDescent="0.2">
      <c r="A42" s="32" t="s">
        <v>46</v>
      </c>
      <c r="B42" s="13" t="s">
        <v>47</v>
      </c>
      <c r="C42" s="14">
        <v>54047.822699999902</v>
      </c>
      <c r="D42" s="14">
        <v>2.0000000000000001E-4</v>
      </c>
      <c r="E42">
        <f t="shared" si="0"/>
        <v>16595.454172072623</v>
      </c>
      <c r="F42">
        <f t="shared" si="1"/>
        <v>16595.5</v>
      </c>
      <c r="G42">
        <f t="shared" si="4"/>
        <v>-4.351600009977119E-2</v>
      </c>
      <c r="K42">
        <f t="shared" si="6"/>
        <v>-4.351600009977119E-2</v>
      </c>
      <c r="O42">
        <f t="shared" ca="1" si="2"/>
        <v>-4.3059831550004216E-2</v>
      </c>
      <c r="Q42" s="2">
        <f t="shared" si="3"/>
        <v>39029.322699999902</v>
      </c>
    </row>
    <row r="43" spans="1:32" s="38" customFormat="1" x14ac:dyDescent="0.2">
      <c r="A43" s="9" t="s">
        <v>49</v>
      </c>
      <c r="B43" s="37" t="s">
        <v>39</v>
      </c>
      <c r="C43" s="9">
        <v>54774.699500000002</v>
      </c>
      <c r="D43" s="9">
        <v>4.0000000000000002E-4</v>
      </c>
      <c r="E43">
        <f t="shared" si="0"/>
        <v>17360.948636830846</v>
      </c>
      <c r="F43">
        <f t="shared" si="1"/>
        <v>17361</v>
      </c>
      <c r="G43">
        <f t="shared" si="4"/>
        <v>-4.8771999994642101E-2</v>
      </c>
      <c r="H43"/>
      <c r="I43"/>
      <c r="K43">
        <f t="shared" si="6"/>
        <v>-4.8771999994642101E-2</v>
      </c>
      <c r="L43"/>
      <c r="M43"/>
      <c r="N43"/>
      <c r="O43">
        <f t="shared" ca="1" si="2"/>
        <v>-4.7182413949704641E-2</v>
      </c>
      <c r="P43"/>
      <c r="Q43" s="2">
        <f t="shared" si="3"/>
        <v>39756.199500000002</v>
      </c>
      <c r="R43"/>
    </row>
    <row r="44" spans="1:32" x14ac:dyDescent="0.2">
      <c r="A44" s="57" t="s">
        <v>164</v>
      </c>
      <c r="B44" s="58" t="s">
        <v>39</v>
      </c>
      <c r="C44" s="57">
        <v>55060.514499999997</v>
      </c>
      <c r="D44" s="57" t="s">
        <v>65</v>
      </c>
      <c r="E44">
        <f t="shared" si="0"/>
        <v>17661.948476755351</v>
      </c>
      <c r="F44">
        <f t="shared" si="1"/>
        <v>17662</v>
      </c>
      <c r="G44">
        <f t="shared" si="4"/>
        <v>-4.892400000244379E-2</v>
      </c>
      <c r="K44">
        <f t="shared" si="6"/>
        <v>-4.892400000244379E-2</v>
      </c>
      <c r="O44">
        <f t="shared" ca="1" si="2"/>
        <v>-4.8803442430840921E-2</v>
      </c>
      <c r="Q44" s="2">
        <f t="shared" si="3"/>
        <v>40042.014499999997</v>
      </c>
    </row>
    <row r="45" spans="1:32" s="38" customFormat="1" x14ac:dyDescent="0.2">
      <c r="A45" s="39" t="s">
        <v>52</v>
      </c>
      <c r="B45" s="40" t="s">
        <v>47</v>
      </c>
      <c r="C45" s="41">
        <v>55517.720399999998</v>
      </c>
      <c r="D45" s="41">
        <v>2.9999999999999997E-4</v>
      </c>
      <c r="E45">
        <f t="shared" si="0"/>
        <v>18143.44490875697</v>
      </c>
      <c r="F45">
        <f t="shared" si="1"/>
        <v>18143.5</v>
      </c>
      <c r="G45">
        <f t="shared" si="4"/>
        <v>-5.2312000007077586E-2</v>
      </c>
      <c r="H45"/>
      <c r="I45"/>
      <c r="K45">
        <f t="shared" si="6"/>
        <v>-5.2312000007077586E-2</v>
      </c>
      <c r="L45"/>
      <c r="M45"/>
      <c r="N45"/>
      <c r="O45">
        <f t="shared" ca="1" si="2"/>
        <v>-5.1396549452990825E-2</v>
      </c>
      <c r="P45"/>
      <c r="Q45" s="2">
        <f t="shared" si="3"/>
        <v>40499.220399999998</v>
      </c>
      <c r="R45"/>
    </row>
    <row r="46" spans="1:32" s="38" customFormat="1" x14ac:dyDescent="0.2">
      <c r="A46" s="42" t="s">
        <v>53</v>
      </c>
      <c r="B46" s="43" t="s">
        <v>47</v>
      </c>
      <c r="C46" s="42">
        <v>56569.816800000001</v>
      </c>
      <c r="D46" s="42">
        <v>5.9999999999999995E-4</v>
      </c>
      <c r="E46">
        <f t="shared" si="0"/>
        <v>19251.437309383793</v>
      </c>
      <c r="F46">
        <f t="shared" si="1"/>
        <v>19251.5</v>
      </c>
      <c r="G46">
        <f t="shared" si="4"/>
        <v>-5.9527999997953884E-2</v>
      </c>
      <c r="H46"/>
      <c r="I46"/>
      <c r="K46">
        <f t="shared" si="6"/>
        <v>-5.9527999997953884E-2</v>
      </c>
      <c r="L46"/>
      <c r="M46"/>
      <c r="N46"/>
      <c r="O46">
        <f t="shared" ca="1" si="2"/>
        <v>-5.7363657616110439E-2</v>
      </c>
      <c r="P46"/>
      <c r="Q46" s="2">
        <f t="shared" si="3"/>
        <v>41551.316800000001</v>
      </c>
      <c r="R46"/>
    </row>
    <row r="47" spans="1:32" x14ac:dyDescent="0.2">
      <c r="A47" s="59" t="s">
        <v>175</v>
      </c>
      <c r="B47" s="60" t="s">
        <v>39</v>
      </c>
      <c r="C47" s="61">
        <v>59549.974200000055</v>
      </c>
      <c r="D47" s="29"/>
      <c r="E47">
        <f t="shared" ref="E47" si="7">+(C47-C$7)/C$8</f>
        <v>22389.925143646746</v>
      </c>
      <c r="F47">
        <f t="shared" ref="F47" si="8">ROUND(2*E47,0)/2</f>
        <v>22390</v>
      </c>
      <c r="G47">
        <f t="shared" ref="G47" si="9">+C47-(C$7+F47*C$8)</f>
        <v>-7.1079999943322036E-2</v>
      </c>
      <c r="J47" s="38"/>
      <c r="K47">
        <f t="shared" ref="K47" si="10">G47</f>
        <v>-7.1079999943322036E-2</v>
      </c>
      <c r="O47">
        <f t="shared" ref="O47" ca="1" si="11">+C$11+C$12*F47</f>
        <v>-7.4265976181048091E-2</v>
      </c>
      <c r="Q47" s="2">
        <f t="shared" ref="Q47" si="12">+C47-15018.5</f>
        <v>44531.474200000055</v>
      </c>
    </row>
    <row r="48" spans="1:32" x14ac:dyDescent="0.2">
      <c r="B48" s="19"/>
      <c r="C48" s="29"/>
      <c r="D48" s="29"/>
      <c r="Q48" s="2"/>
    </row>
    <row r="49" spans="2:4" x14ac:dyDescent="0.2">
      <c r="B49" s="19"/>
      <c r="C49" s="29"/>
      <c r="D49" s="29"/>
    </row>
    <row r="50" spans="2:4" x14ac:dyDescent="0.2">
      <c r="B50" s="19"/>
      <c r="C50" s="29"/>
      <c r="D50" s="29"/>
    </row>
    <row r="51" spans="2:4" x14ac:dyDescent="0.2">
      <c r="B51" s="19"/>
      <c r="C51" s="29"/>
      <c r="D51" s="29"/>
    </row>
    <row r="52" spans="2:4" x14ac:dyDescent="0.2">
      <c r="B52" s="19"/>
      <c r="C52" s="29"/>
      <c r="D52" s="29"/>
    </row>
    <row r="53" spans="2:4" x14ac:dyDescent="0.2">
      <c r="B53" s="19"/>
      <c r="C53" s="29"/>
      <c r="D53" s="29"/>
    </row>
    <row r="54" spans="2:4" x14ac:dyDescent="0.2">
      <c r="B54" s="19"/>
      <c r="C54" s="29"/>
      <c r="D54" s="29"/>
    </row>
    <row r="55" spans="2:4" x14ac:dyDescent="0.2">
      <c r="B55" s="19"/>
      <c r="C55" s="29"/>
      <c r="D55" s="29"/>
    </row>
    <row r="56" spans="2:4" x14ac:dyDescent="0.2">
      <c r="B56" s="19"/>
      <c r="C56" s="29"/>
      <c r="D56" s="29"/>
    </row>
    <row r="57" spans="2:4" x14ac:dyDescent="0.2">
      <c r="B57" s="19"/>
      <c r="C57" s="29"/>
      <c r="D57" s="29"/>
    </row>
    <row r="58" spans="2:4" x14ac:dyDescent="0.2">
      <c r="C58" s="29"/>
      <c r="D58" s="29"/>
    </row>
    <row r="59" spans="2:4" x14ac:dyDescent="0.2">
      <c r="C59" s="29"/>
      <c r="D59" s="29"/>
    </row>
    <row r="60" spans="2:4" x14ac:dyDescent="0.2">
      <c r="C60" s="29"/>
      <c r="D60" s="29"/>
    </row>
    <row r="61" spans="2:4" x14ac:dyDescent="0.2">
      <c r="C61" s="29"/>
      <c r="D61" s="29"/>
    </row>
    <row r="62" spans="2:4" x14ac:dyDescent="0.2">
      <c r="C62" s="29"/>
      <c r="D62" s="29"/>
    </row>
    <row r="63" spans="2:4" x14ac:dyDescent="0.2">
      <c r="C63" s="29"/>
      <c r="D63" s="29"/>
    </row>
    <row r="64" spans="2:4" x14ac:dyDescent="0.2">
      <c r="C64" s="29"/>
      <c r="D64" s="29"/>
    </row>
    <row r="65" spans="3:4" x14ac:dyDescent="0.2">
      <c r="C65" s="29"/>
      <c r="D65" s="29"/>
    </row>
    <row r="66" spans="3:4" x14ac:dyDescent="0.2">
      <c r="C66" s="29"/>
      <c r="D66" s="29"/>
    </row>
    <row r="67" spans="3:4" x14ac:dyDescent="0.2">
      <c r="C67" s="29"/>
      <c r="D67" s="29"/>
    </row>
    <row r="68" spans="3:4" x14ac:dyDescent="0.2">
      <c r="C68" s="29"/>
      <c r="D68" s="29"/>
    </row>
    <row r="69" spans="3:4" x14ac:dyDescent="0.2">
      <c r="C69" s="29"/>
      <c r="D69" s="29"/>
    </row>
    <row r="70" spans="3:4" x14ac:dyDescent="0.2">
      <c r="C70" s="29"/>
      <c r="D70" s="29"/>
    </row>
    <row r="71" spans="3:4" x14ac:dyDescent="0.2">
      <c r="C71" s="29"/>
      <c r="D71" s="29"/>
    </row>
    <row r="72" spans="3:4" x14ac:dyDescent="0.2">
      <c r="C72" s="29"/>
      <c r="D72" s="29"/>
    </row>
    <row r="73" spans="3:4" x14ac:dyDescent="0.2">
      <c r="C73" s="29"/>
      <c r="D73" s="29"/>
    </row>
    <row r="74" spans="3:4" x14ac:dyDescent="0.2">
      <c r="C74" s="29"/>
      <c r="D74" s="29"/>
    </row>
    <row r="75" spans="3:4" x14ac:dyDescent="0.2">
      <c r="C75" s="29"/>
      <c r="D75" s="29"/>
    </row>
    <row r="76" spans="3:4" x14ac:dyDescent="0.2">
      <c r="C76" s="29"/>
      <c r="D76" s="29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0"/>
  <sheetViews>
    <sheetView workbookViewId="0">
      <selection activeCell="A20" sqref="A20:D34"/>
    </sheetView>
  </sheetViews>
  <sheetFormatPr defaultRowHeight="12.75" x14ac:dyDescent="0.2"/>
  <cols>
    <col min="1" max="1" width="19.7109375" style="15" customWidth="1"/>
    <col min="2" max="2" width="4.42578125" style="17" customWidth="1"/>
    <col min="3" max="3" width="12.7109375" style="1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4" t="s">
        <v>55</v>
      </c>
      <c r="I1" s="45" t="s">
        <v>56</v>
      </c>
      <c r="J1" s="46" t="s">
        <v>57</v>
      </c>
    </row>
    <row r="2" spans="1:16" x14ac:dyDescent="0.2">
      <c r="I2" s="47" t="s">
        <v>58</v>
      </c>
      <c r="J2" s="48" t="s">
        <v>59</v>
      </c>
    </row>
    <row r="3" spans="1:16" x14ac:dyDescent="0.2">
      <c r="A3" s="49" t="s">
        <v>60</v>
      </c>
      <c r="I3" s="47" t="s">
        <v>61</v>
      </c>
      <c r="J3" s="48" t="s">
        <v>62</v>
      </c>
    </row>
    <row r="4" spans="1:16" x14ac:dyDescent="0.2">
      <c r="I4" s="47" t="s">
        <v>63</v>
      </c>
      <c r="J4" s="48" t="s">
        <v>62</v>
      </c>
    </row>
    <row r="5" spans="1:16" ht="13.5" thickBot="1" x14ac:dyDescent="0.25">
      <c r="I5" s="50" t="s">
        <v>64</v>
      </c>
      <c r="J5" s="51" t="s">
        <v>65</v>
      </c>
    </row>
    <row r="10" spans="1:16" ht="13.5" thickBot="1" x14ac:dyDescent="0.25"/>
    <row r="11" spans="1:16" ht="12.75" customHeight="1" thickBot="1" x14ac:dyDescent="0.25">
      <c r="A11" s="15" t="str">
        <f t="shared" ref="A11:A34" si="0">P11</f>
        <v> PZP 2.79 </v>
      </c>
      <c r="B11" s="19" t="str">
        <f t="shared" ref="B11:B34" si="1">IF(H11=INT(H11),"I","II")</f>
        <v>I</v>
      </c>
      <c r="C11" s="15">
        <f t="shared" ref="C11:C34" si="2">1*G11</f>
        <v>38289.576000000001</v>
      </c>
      <c r="D11" s="17" t="str">
        <f t="shared" ref="D11:D34" si="3">VLOOKUP(F11,I$1:J$5,2,FALSE)</f>
        <v>vis</v>
      </c>
      <c r="E11" s="52">
        <f>VLOOKUP(C11,Active!C$21:E$972,3,FALSE)</f>
        <v>0</v>
      </c>
      <c r="F11" s="19" t="s">
        <v>64</v>
      </c>
      <c r="G11" s="17" t="str">
        <f t="shared" ref="G11:G34" si="4">MID(I11,3,LEN(I11)-3)</f>
        <v>38289.576</v>
      </c>
      <c r="H11" s="15">
        <f t="shared" ref="H11:H34" si="5">1*K11</f>
        <v>0</v>
      </c>
      <c r="I11" s="53" t="s">
        <v>67</v>
      </c>
      <c r="J11" s="54" t="s">
        <v>68</v>
      </c>
      <c r="K11" s="53">
        <v>0</v>
      </c>
      <c r="L11" s="53" t="s">
        <v>69</v>
      </c>
      <c r="M11" s="54" t="s">
        <v>70</v>
      </c>
      <c r="N11" s="54"/>
      <c r="O11" s="55" t="s">
        <v>71</v>
      </c>
      <c r="P11" s="55" t="s">
        <v>72</v>
      </c>
    </row>
    <row r="12" spans="1:16" ht="12.75" customHeight="1" thickBot="1" x14ac:dyDescent="0.25">
      <c r="A12" s="15" t="str">
        <f t="shared" si="0"/>
        <v> BBS 113 </v>
      </c>
      <c r="B12" s="19" t="str">
        <f t="shared" si="1"/>
        <v>I</v>
      </c>
      <c r="C12" s="15">
        <f t="shared" si="2"/>
        <v>50320.377999999997</v>
      </c>
      <c r="D12" s="17" t="str">
        <f t="shared" si="3"/>
        <v>vis</v>
      </c>
      <c r="E12" s="52">
        <f>VLOOKUP(C12,Active!C$21:E$972,3,FALSE)</f>
        <v>12669.976999679846</v>
      </c>
      <c r="F12" s="19" t="s">
        <v>64</v>
      </c>
      <c r="G12" s="17" t="str">
        <f t="shared" si="4"/>
        <v>50320.378</v>
      </c>
      <c r="H12" s="15">
        <f t="shared" si="5"/>
        <v>12670</v>
      </c>
      <c r="I12" s="53" t="s">
        <v>108</v>
      </c>
      <c r="J12" s="54" t="s">
        <v>109</v>
      </c>
      <c r="K12" s="53">
        <v>12670</v>
      </c>
      <c r="L12" s="53" t="s">
        <v>110</v>
      </c>
      <c r="M12" s="54" t="s">
        <v>104</v>
      </c>
      <c r="N12" s="54" t="s">
        <v>111</v>
      </c>
      <c r="O12" s="55" t="s">
        <v>112</v>
      </c>
      <c r="P12" s="55" t="s">
        <v>113</v>
      </c>
    </row>
    <row r="13" spans="1:16" ht="12.75" customHeight="1" thickBot="1" x14ac:dyDescent="0.25">
      <c r="A13" s="15" t="str">
        <f t="shared" si="0"/>
        <v>BAVM 158 </v>
      </c>
      <c r="B13" s="19" t="str">
        <f t="shared" si="1"/>
        <v>I</v>
      </c>
      <c r="C13" s="15">
        <f t="shared" si="2"/>
        <v>52483.450199999999</v>
      </c>
      <c r="D13" s="17" t="str">
        <f t="shared" si="3"/>
        <v>vis</v>
      </c>
      <c r="E13" s="52">
        <f>VLOOKUP(C13,Active!C$21:E$972,3,FALSE)</f>
        <v>14947.969358181541</v>
      </c>
      <c r="F13" s="19" t="s">
        <v>64</v>
      </c>
      <c r="G13" s="17" t="str">
        <f t="shared" si="4"/>
        <v>52483.4502</v>
      </c>
      <c r="H13" s="15">
        <f t="shared" si="5"/>
        <v>14948</v>
      </c>
      <c r="I13" s="53" t="s">
        <v>125</v>
      </c>
      <c r="J13" s="54" t="s">
        <v>126</v>
      </c>
      <c r="K13" s="53">
        <v>14948</v>
      </c>
      <c r="L13" s="53" t="s">
        <v>127</v>
      </c>
      <c r="M13" s="54" t="s">
        <v>104</v>
      </c>
      <c r="N13" s="54" t="s">
        <v>128</v>
      </c>
      <c r="O13" s="55" t="s">
        <v>129</v>
      </c>
      <c r="P13" s="56" t="s">
        <v>130</v>
      </c>
    </row>
    <row r="14" spans="1:16" ht="12.75" customHeight="1" thickBot="1" x14ac:dyDescent="0.25">
      <c r="A14" s="15" t="str">
        <f t="shared" si="0"/>
        <v> BBS 129 </v>
      </c>
      <c r="B14" s="19" t="str">
        <f t="shared" si="1"/>
        <v>I</v>
      </c>
      <c r="C14" s="15">
        <f t="shared" si="2"/>
        <v>52693.295100000003</v>
      </c>
      <c r="D14" s="17" t="str">
        <f t="shared" si="3"/>
        <v>vis</v>
      </c>
      <c r="E14" s="52">
        <f>VLOOKUP(C14,Active!C$21:E$972,3,FALSE)</f>
        <v>15168.962942524478</v>
      </c>
      <c r="F14" s="19" t="s">
        <v>64</v>
      </c>
      <c r="G14" s="17" t="str">
        <f t="shared" si="4"/>
        <v>52693.2951</v>
      </c>
      <c r="H14" s="15">
        <f t="shared" si="5"/>
        <v>15169</v>
      </c>
      <c r="I14" s="53" t="s">
        <v>131</v>
      </c>
      <c r="J14" s="54" t="s">
        <v>132</v>
      </c>
      <c r="K14" s="53" t="s">
        <v>133</v>
      </c>
      <c r="L14" s="53" t="s">
        <v>134</v>
      </c>
      <c r="M14" s="54" t="s">
        <v>104</v>
      </c>
      <c r="N14" s="54" t="s">
        <v>111</v>
      </c>
      <c r="O14" s="55" t="s">
        <v>135</v>
      </c>
      <c r="P14" s="55" t="s">
        <v>136</v>
      </c>
    </row>
    <row r="15" spans="1:16" ht="12.75" customHeight="1" thickBot="1" x14ac:dyDescent="0.25">
      <c r="A15" s="15" t="str">
        <f t="shared" si="0"/>
        <v>BAVM 172 </v>
      </c>
      <c r="B15" s="19" t="str">
        <f t="shared" si="1"/>
        <v>I</v>
      </c>
      <c r="C15" s="15">
        <f t="shared" si="2"/>
        <v>52878.456100000003</v>
      </c>
      <c r="D15" s="17" t="str">
        <f t="shared" si="3"/>
        <v>vis</v>
      </c>
      <c r="E15" s="52">
        <f>VLOOKUP(C15,Active!C$21:E$972,3,FALSE)</f>
        <v>15363.961215394211</v>
      </c>
      <c r="F15" s="19" t="s">
        <v>64</v>
      </c>
      <c r="G15" s="17" t="str">
        <f t="shared" si="4"/>
        <v>52878.4561</v>
      </c>
      <c r="H15" s="15">
        <f t="shared" si="5"/>
        <v>15364</v>
      </c>
      <c r="I15" s="53" t="s">
        <v>137</v>
      </c>
      <c r="J15" s="54" t="s">
        <v>138</v>
      </c>
      <c r="K15" s="53" t="s">
        <v>139</v>
      </c>
      <c r="L15" s="53" t="s">
        <v>140</v>
      </c>
      <c r="M15" s="54" t="s">
        <v>104</v>
      </c>
      <c r="N15" s="54" t="s">
        <v>128</v>
      </c>
      <c r="O15" s="55" t="s">
        <v>129</v>
      </c>
      <c r="P15" s="56" t="s">
        <v>141</v>
      </c>
    </row>
    <row r="16" spans="1:16" ht="12.75" customHeight="1" thickBot="1" x14ac:dyDescent="0.25">
      <c r="A16" s="15" t="str">
        <f t="shared" si="0"/>
        <v>IBVS 5690 </v>
      </c>
      <c r="B16" s="19" t="str">
        <f t="shared" si="1"/>
        <v>I</v>
      </c>
      <c r="C16" s="15">
        <f t="shared" si="2"/>
        <v>53365.5746</v>
      </c>
      <c r="D16" s="17" t="str">
        <f t="shared" si="3"/>
        <v>vis</v>
      </c>
      <c r="E16" s="52">
        <f>VLOOKUP(C16,Active!C$21:E$972,3,FALSE)</f>
        <v>15876.959450351324</v>
      </c>
      <c r="F16" s="19" t="s">
        <v>64</v>
      </c>
      <c r="G16" s="17" t="str">
        <f t="shared" si="4"/>
        <v>53365.5746</v>
      </c>
      <c r="H16" s="15">
        <f t="shared" si="5"/>
        <v>15877</v>
      </c>
      <c r="I16" s="53" t="s">
        <v>142</v>
      </c>
      <c r="J16" s="54" t="s">
        <v>143</v>
      </c>
      <c r="K16" s="53" t="s">
        <v>144</v>
      </c>
      <c r="L16" s="53" t="s">
        <v>145</v>
      </c>
      <c r="M16" s="54" t="s">
        <v>104</v>
      </c>
      <c r="N16" s="54" t="s">
        <v>111</v>
      </c>
      <c r="O16" s="55" t="s">
        <v>146</v>
      </c>
      <c r="P16" s="56" t="s">
        <v>147</v>
      </c>
    </row>
    <row r="17" spans="1:16" ht="12.75" customHeight="1" thickBot="1" x14ac:dyDescent="0.25">
      <c r="A17" s="15" t="str">
        <f t="shared" si="0"/>
        <v>IBVS 5871 </v>
      </c>
      <c r="B17" s="19" t="str">
        <f t="shared" si="1"/>
        <v>I</v>
      </c>
      <c r="C17" s="15">
        <f t="shared" si="2"/>
        <v>54774.699500000002</v>
      </c>
      <c r="D17" s="17" t="str">
        <f t="shared" si="3"/>
        <v>vis</v>
      </c>
      <c r="E17" s="52">
        <f>VLOOKUP(C17,Active!C$21:E$972,3,FALSE)</f>
        <v>17360.948636830846</v>
      </c>
      <c r="F17" s="19" t="s">
        <v>64</v>
      </c>
      <c r="G17" s="17" t="str">
        <f t="shared" si="4"/>
        <v>54774.6995</v>
      </c>
      <c r="H17" s="15">
        <f t="shared" si="5"/>
        <v>17361</v>
      </c>
      <c r="I17" s="53" t="s">
        <v>155</v>
      </c>
      <c r="J17" s="54" t="s">
        <v>156</v>
      </c>
      <c r="K17" s="53" t="s">
        <v>157</v>
      </c>
      <c r="L17" s="53" t="s">
        <v>158</v>
      </c>
      <c r="M17" s="54" t="s">
        <v>152</v>
      </c>
      <c r="N17" s="54" t="s">
        <v>64</v>
      </c>
      <c r="O17" s="55" t="s">
        <v>112</v>
      </c>
      <c r="P17" s="56" t="s">
        <v>159</v>
      </c>
    </row>
    <row r="18" spans="1:16" ht="12.75" customHeight="1" thickBot="1" x14ac:dyDescent="0.25">
      <c r="A18" s="15" t="str">
        <f t="shared" si="0"/>
        <v>IBVS 5960 </v>
      </c>
      <c r="B18" s="19" t="str">
        <f t="shared" si="1"/>
        <v>II</v>
      </c>
      <c r="C18" s="15">
        <f t="shared" si="2"/>
        <v>55517.720399999998</v>
      </c>
      <c r="D18" s="17" t="str">
        <f t="shared" si="3"/>
        <v>vis</v>
      </c>
      <c r="E18" s="52">
        <f>VLOOKUP(C18,Active!C$21:E$972,3,FALSE)</f>
        <v>18143.44490875697</v>
      </c>
      <c r="F18" s="19" t="s">
        <v>64</v>
      </c>
      <c r="G18" s="17" t="str">
        <f t="shared" si="4"/>
        <v>55517.7204</v>
      </c>
      <c r="H18" s="15">
        <f t="shared" si="5"/>
        <v>18143.5</v>
      </c>
      <c r="I18" s="53" t="s">
        <v>165</v>
      </c>
      <c r="J18" s="54" t="s">
        <v>166</v>
      </c>
      <c r="K18" s="53" t="s">
        <v>167</v>
      </c>
      <c r="L18" s="53" t="s">
        <v>168</v>
      </c>
      <c r="M18" s="54" t="s">
        <v>152</v>
      </c>
      <c r="N18" s="54" t="s">
        <v>64</v>
      </c>
      <c r="O18" s="55" t="s">
        <v>112</v>
      </c>
      <c r="P18" s="56" t="s">
        <v>169</v>
      </c>
    </row>
    <row r="19" spans="1:16" ht="12.75" customHeight="1" thickBot="1" x14ac:dyDescent="0.25">
      <c r="A19" s="15" t="str">
        <f t="shared" si="0"/>
        <v>IBVS 6093 </v>
      </c>
      <c r="B19" s="19" t="str">
        <f t="shared" si="1"/>
        <v>II</v>
      </c>
      <c r="C19" s="15">
        <f t="shared" si="2"/>
        <v>56569.816800000001</v>
      </c>
      <c r="D19" s="17" t="str">
        <f t="shared" si="3"/>
        <v>vis</v>
      </c>
      <c r="E19" s="52">
        <f>VLOOKUP(C19,Active!C$21:E$972,3,FALSE)</f>
        <v>19251.437309383793</v>
      </c>
      <c r="F19" s="19" t="s">
        <v>64</v>
      </c>
      <c r="G19" s="17" t="str">
        <f t="shared" si="4"/>
        <v>56569.8168</v>
      </c>
      <c r="H19" s="15">
        <f t="shared" si="5"/>
        <v>19251.5</v>
      </c>
      <c r="I19" s="53" t="s">
        <v>170</v>
      </c>
      <c r="J19" s="54" t="s">
        <v>171</v>
      </c>
      <c r="K19" s="53" t="s">
        <v>172</v>
      </c>
      <c r="L19" s="53" t="s">
        <v>173</v>
      </c>
      <c r="M19" s="54" t="s">
        <v>152</v>
      </c>
      <c r="N19" s="54" t="s">
        <v>64</v>
      </c>
      <c r="O19" s="55" t="s">
        <v>112</v>
      </c>
      <c r="P19" s="56" t="s">
        <v>174</v>
      </c>
    </row>
    <row r="20" spans="1:16" ht="12.75" customHeight="1" thickBot="1" x14ac:dyDescent="0.25">
      <c r="A20" s="15" t="str">
        <f t="shared" si="0"/>
        <v> PZP 2.79 </v>
      </c>
      <c r="B20" s="19" t="str">
        <f t="shared" si="1"/>
        <v>I</v>
      </c>
      <c r="C20" s="15">
        <f t="shared" si="2"/>
        <v>38293.385000000002</v>
      </c>
      <c r="D20" s="17" t="str">
        <f t="shared" si="3"/>
        <v>vis</v>
      </c>
      <c r="E20" s="52">
        <f>VLOOKUP(C20,Active!C$21:E$972,3,FALSE)</f>
        <v>4.0113653596655121</v>
      </c>
      <c r="F20" s="19" t="s">
        <v>64</v>
      </c>
      <c r="G20" s="17" t="str">
        <f t="shared" si="4"/>
        <v>38293.385</v>
      </c>
      <c r="H20" s="15">
        <f t="shared" si="5"/>
        <v>4</v>
      </c>
      <c r="I20" s="53" t="s">
        <v>73</v>
      </c>
      <c r="J20" s="54" t="s">
        <v>74</v>
      </c>
      <c r="K20" s="53">
        <v>4</v>
      </c>
      <c r="L20" s="53" t="s">
        <v>75</v>
      </c>
      <c r="M20" s="54" t="s">
        <v>70</v>
      </c>
      <c r="N20" s="54"/>
      <c r="O20" s="55" t="s">
        <v>71</v>
      </c>
      <c r="P20" s="55" t="s">
        <v>72</v>
      </c>
    </row>
    <row r="21" spans="1:16" ht="12.75" customHeight="1" thickBot="1" x14ac:dyDescent="0.25">
      <c r="A21" s="15" t="str">
        <f t="shared" si="0"/>
        <v> PZP 2.79 </v>
      </c>
      <c r="B21" s="19" t="str">
        <f t="shared" si="1"/>
        <v>II</v>
      </c>
      <c r="C21" s="15">
        <f t="shared" si="2"/>
        <v>38299.521999999997</v>
      </c>
      <c r="D21" s="17" t="str">
        <f t="shared" si="3"/>
        <v>vis</v>
      </c>
      <c r="E21" s="52">
        <f>VLOOKUP(C21,Active!C$21:E$972,3,FALSE)</f>
        <v>10.474413196956329</v>
      </c>
      <c r="F21" s="19" t="s">
        <v>64</v>
      </c>
      <c r="G21" s="17" t="str">
        <f t="shared" si="4"/>
        <v>38299.522</v>
      </c>
      <c r="H21" s="15">
        <f t="shared" si="5"/>
        <v>10.5</v>
      </c>
      <c r="I21" s="53" t="s">
        <v>76</v>
      </c>
      <c r="J21" s="54" t="s">
        <v>77</v>
      </c>
      <c r="K21" s="53">
        <v>10.5</v>
      </c>
      <c r="L21" s="53" t="s">
        <v>78</v>
      </c>
      <c r="M21" s="54" t="s">
        <v>70</v>
      </c>
      <c r="N21" s="54"/>
      <c r="O21" s="55" t="s">
        <v>71</v>
      </c>
      <c r="P21" s="55" t="s">
        <v>72</v>
      </c>
    </row>
    <row r="22" spans="1:16" ht="12.75" customHeight="1" thickBot="1" x14ac:dyDescent="0.25">
      <c r="A22" s="15" t="str">
        <f t="shared" si="0"/>
        <v> PZP 2.79 </v>
      </c>
      <c r="B22" s="19" t="str">
        <f t="shared" si="1"/>
        <v>II</v>
      </c>
      <c r="C22" s="15">
        <f t="shared" si="2"/>
        <v>38317.563000000002</v>
      </c>
      <c r="D22" s="17" t="str">
        <f t="shared" si="3"/>
        <v>vis</v>
      </c>
      <c r="E22" s="52">
        <f>VLOOKUP(C22,Active!C$21:E$972,3,FALSE)</f>
        <v>29.473899270393819</v>
      </c>
      <c r="F22" s="19" t="s">
        <v>64</v>
      </c>
      <c r="G22" s="17" t="str">
        <f t="shared" si="4"/>
        <v>38317.563</v>
      </c>
      <c r="H22" s="15">
        <f t="shared" si="5"/>
        <v>29.5</v>
      </c>
      <c r="I22" s="53" t="s">
        <v>79</v>
      </c>
      <c r="J22" s="54" t="s">
        <v>80</v>
      </c>
      <c r="K22" s="53">
        <v>29.5</v>
      </c>
      <c r="L22" s="53" t="s">
        <v>81</v>
      </c>
      <c r="M22" s="54" t="s">
        <v>70</v>
      </c>
      <c r="N22" s="54"/>
      <c r="O22" s="55" t="s">
        <v>71</v>
      </c>
      <c r="P22" s="55" t="s">
        <v>72</v>
      </c>
    </row>
    <row r="23" spans="1:16" ht="12.75" customHeight="1" thickBot="1" x14ac:dyDescent="0.25">
      <c r="A23" s="15" t="str">
        <f t="shared" si="0"/>
        <v> PZP 2.80 </v>
      </c>
      <c r="B23" s="19" t="str">
        <f t="shared" si="1"/>
        <v>II</v>
      </c>
      <c r="C23" s="15">
        <f t="shared" si="2"/>
        <v>38320.466999999997</v>
      </c>
      <c r="D23" s="17" t="str">
        <f t="shared" si="3"/>
        <v>vis</v>
      </c>
      <c r="E23" s="52">
        <f>VLOOKUP(C23,Active!C$21:E$972,3,FALSE)</f>
        <v>32.532183598155747</v>
      </c>
      <c r="F23" s="19" t="s">
        <v>64</v>
      </c>
      <c r="G23" s="17" t="str">
        <f t="shared" si="4"/>
        <v>38320.467</v>
      </c>
      <c r="H23" s="15">
        <f t="shared" si="5"/>
        <v>32.5</v>
      </c>
      <c r="I23" s="53" t="s">
        <v>82</v>
      </c>
      <c r="J23" s="54" t="s">
        <v>83</v>
      </c>
      <c r="K23" s="53">
        <v>32.5</v>
      </c>
      <c r="L23" s="53" t="s">
        <v>84</v>
      </c>
      <c r="M23" s="54" t="s">
        <v>70</v>
      </c>
      <c r="N23" s="54"/>
      <c r="O23" s="55" t="s">
        <v>71</v>
      </c>
      <c r="P23" s="55" t="s">
        <v>85</v>
      </c>
    </row>
    <row r="24" spans="1:16" ht="12.75" customHeight="1" thickBot="1" x14ac:dyDescent="0.25">
      <c r="A24" s="15" t="str">
        <f t="shared" si="0"/>
        <v> PZP 2.80 </v>
      </c>
      <c r="B24" s="19" t="str">
        <f t="shared" si="1"/>
        <v>II</v>
      </c>
      <c r="C24" s="15">
        <f t="shared" si="2"/>
        <v>38322.375999999997</v>
      </c>
      <c r="D24" s="17" t="str">
        <f t="shared" si="3"/>
        <v>vis</v>
      </c>
      <c r="E24" s="52">
        <f>VLOOKUP(C24,Active!C$21:E$972,3,FALSE)</f>
        <v>34.542605354941735</v>
      </c>
      <c r="F24" s="19" t="s">
        <v>64</v>
      </c>
      <c r="G24" s="17" t="str">
        <f t="shared" si="4"/>
        <v>38322.376</v>
      </c>
      <c r="H24" s="15">
        <f t="shared" si="5"/>
        <v>34.5</v>
      </c>
      <c r="I24" s="53" t="s">
        <v>86</v>
      </c>
      <c r="J24" s="54" t="s">
        <v>87</v>
      </c>
      <c r="K24" s="53">
        <v>34.5</v>
      </c>
      <c r="L24" s="53" t="s">
        <v>88</v>
      </c>
      <c r="M24" s="54" t="s">
        <v>70</v>
      </c>
      <c r="N24" s="54"/>
      <c r="O24" s="55" t="s">
        <v>71</v>
      </c>
      <c r="P24" s="55" t="s">
        <v>85</v>
      </c>
    </row>
    <row r="25" spans="1:16" ht="12.75" customHeight="1" thickBot="1" x14ac:dyDescent="0.25">
      <c r="A25" s="15" t="str">
        <f t="shared" si="0"/>
        <v> PZP 2.80 </v>
      </c>
      <c r="B25" s="19" t="str">
        <f t="shared" si="1"/>
        <v>II</v>
      </c>
      <c r="C25" s="15">
        <f t="shared" si="2"/>
        <v>40506.292000000001</v>
      </c>
      <c r="D25" s="17" t="str">
        <f t="shared" si="3"/>
        <v>vis</v>
      </c>
      <c r="E25" s="52">
        <f>VLOOKUP(C25,Active!C$21:E$972,3,FALSE)</f>
        <v>2334.4861576827816</v>
      </c>
      <c r="F25" s="19" t="s">
        <v>64</v>
      </c>
      <c r="G25" s="17" t="str">
        <f t="shared" si="4"/>
        <v>40506.292</v>
      </c>
      <c r="H25" s="15">
        <f t="shared" si="5"/>
        <v>2334.5</v>
      </c>
      <c r="I25" s="53" t="s">
        <v>89</v>
      </c>
      <c r="J25" s="54" t="s">
        <v>90</v>
      </c>
      <c r="K25" s="53">
        <v>2334.5</v>
      </c>
      <c r="L25" s="53" t="s">
        <v>91</v>
      </c>
      <c r="M25" s="54" t="s">
        <v>70</v>
      </c>
      <c r="N25" s="54"/>
      <c r="O25" s="55" t="s">
        <v>71</v>
      </c>
      <c r="P25" s="55" t="s">
        <v>85</v>
      </c>
    </row>
    <row r="26" spans="1:16" ht="12.75" customHeight="1" thickBot="1" x14ac:dyDescent="0.25">
      <c r="A26" s="15" t="str">
        <f t="shared" si="0"/>
        <v> PZP 2.80 </v>
      </c>
      <c r="B26" s="19" t="str">
        <f t="shared" si="1"/>
        <v>I</v>
      </c>
      <c r="C26" s="15">
        <f t="shared" si="2"/>
        <v>41210.423000000003</v>
      </c>
      <c r="D26" s="17" t="str">
        <f t="shared" si="3"/>
        <v>vis</v>
      </c>
      <c r="E26" s="52">
        <f>VLOOKUP(C26,Active!C$21:E$972,3,FALSE)</f>
        <v>3076.0263787554568</v>
      </c>
      <c r="F26" s="19" t="s">
        <v>64</v>
      </c>
      <c r="G26" s="17" t="str">
        <f t="shared" si="4"/>
        <v>41210.423</v>
      </c>
      <c r="H26" s="15">
        <f t="shared" si="5"/>
        <v>3076</v>
      </c>
      <c r="I26" s="53" t="s">
        <v>92</v>
      </c>
      <c r="J26" s="54" t="s">
        <v>93</v>
      </c>
      <c r="K26" s="53">
        <v>3076</v>
      </c>
      <c r="L26" s="53" t="s">
        <v>94</v>
      </c>
      <c r="M26" s="54" t="s">
        <v>70</v>
      </c>
      <c r="N26" s="54"/>
      <c r="O26" s="55" t="s">
        <v>71</v>
      </c>
      <c r="P26" s="55" t="s">
        <v>85</v>
      </c>
    </row>
    <row r="27" spans="1:16" ht="12.75" customHeight="1" thickBot="1" x14ac:dyDescent="0.25">
      <c r="A27" s="15" t="str">
        <f t="shared" si="0"/>
        <v> PZP 2.81 </v>
      </c>
      <c r="B27" s="19" t="str">
        <f t="shared" si="1"/>
        <v>I</v>
      </c>
      <c r="C27" s="15">
        <f t="shared" si="2"/>
        <v>41212.294000000002</v>
      </c>
      <c r="D27" s="17" t="str">
        <f t="shared" si="3"/>
        <v>vis</v>
      </c>
      <c r="E27" s="52">
        <f>VLOOKUP(C27,Active!C$21:E$972,3,FALSE)</f>
        <v>3077.996781640185</v>
      </c>
      <c r="F27" s="19" t="s">
        <v>64</v>
      </c>
      <c r="G27" s="17" t="str">
        <f t="shared" si="4"/>
        <v>41212.294</v>
      </c>
      <c r="H27" s="15">
        <f t="shared" si="5"/>
        <v>3078</v>
      </c>
      <c r="I27" s="53" t="s">
        <v>95</v>
      </c>
      <c r="J27" s="54" t="s">
        <v>96</v>
      </c>
      <c r="K27" s="53">
        <v>3078</v>
      </c>
      <c r="L27" s="53" t="s">
        <v>66</v>
      </c>
      <c r="M27" s="54" t="s">
        <v>70</v>
      </c>
      <c r="N27" s="54"/>
      <c r="O27" s="55" t="s">
        <v>71</v>
      </c>
      <c r="P27" s="55" t="s">
        <v>97</v>
      </c>
    </row>
    <row r="28" spans="1:16" ht="12.75" customHeight="1" thickBot="1" x14ac:dyDescent="0.25">
      <c r="A28" s="15" t="str">
        <f t="shared" si="0"/>
        <v> PZP 2.81 </v>
      </c>
      <c r="B28" s="19" t="str">
        <f t="shared" si="1"/>
        <v>II</v>
      </c>
      <c r="C28" s="15">
        <f t="shared" si="2"/>
        <v>41220.375999999997</v>
      </c>
      <c r="D28" s="17" t="str">
        <f t="shared" si="3"/>
        <v>vis</v>
      </c>
      <c r="E28" s="52">
        <f>VLOOKUP(C28,Active!C$21:E$972,3,FALSE)</f>
        <v>3086.5081638498955</v>
      </c>
      <c r="F28" s="19" t="s">
        <v>64</v>
      </c>
      <c r="G28" s="17" t="str">
        <f t="shared" si="4"/>
        <v>41220.376</v>
      </c>
      <c r="H28" s="15">
        <f t="shared" si="5"/>
        <v>3086.5</v>
      </c>
      <c r="I28" s="53" t="s">
        <v>98</v>
      </c>
      <c r="J28" s="54" t="s">
        <v>99</v>
      </c>
      <c r="K28" s="53">
        <v>3086.5</v>
      </c>
      <c r="L28" s="53" t="s">
        <v>100</v>
      </c>
      <c r="M28" s="54" t="s">
        <v>70</v>
      </c>
      <c r="N28" s="54"/>
      <c r="O28" s="55" t="s">
        <v>71</v>
      </c>
      <c r="P28" s="55" t="s">
        <v>97</v>
      </c>
    </row>
    <row r="29" spans="1:16" ht="12.75" customHeight="1" thickBot="1" x14ac:dyDescent="0.25">
      <c r="A29" s="15" t="str">
        <f t="shared" si="0"/>
        <v>BAVM 68 </v>
      </c>
      <c r="B29" s="19" t="str">
        <f t="shared" si="1"/>
        <v>I</v>
      </c>
      <c r="C29" s="15">
        <f t="shared" si="2"/>
        <v>49399.3151</v>
      </c>
      <c r="D29" s="17" t="str">
        <f t="shared" si="3"/>
        <v>vis</v>
      </c>
      <c r="E29" s="52">
        <f>VLOOKUP(C29,Active!C$21:E$972,3,FALSE)</f>
        <v>11699.979674625507</v>
      </c>
      <c r="F29" s="19" t="s">
        <v>64</v>
      </c>
      <c r="G29" s="17" t="str">
        <f t="shared" si="4"/>
        <v>49399.3151</v>
      </c>
      <c r="H29" s="15">
        <f t="shared" si="5"/>
        <v>11700</v>
      </c>
      <c r="I29" s="53" t="s">
        <v>101</v>
      </c>
      <c r="J29" s="54" t="s">
        <v>102</v>
      </c>
      <c r="K29" s="53">
        <v>11700</v>
      </c>
      <c r="L29" s="53" t="s">
        <v>103</v>
      </c>
      <c r="M29" s="54" t="s">
        <v>104</v>
      </c>
      <c r="N29" s="54" t="s">
        <v>105</v>
      </c>
      <c r="O29" s="55" t="s">
        <v>106</v>
      </c>
      <c r="P29" s="56" t="s">
        <v>107</v>
      </c>
    </row>
    <row r="30" spans="1:16" ht="12.75" customHeight="1" thickBot="1" x14ac:dyDescent="0.25">
      <c r="A30" s="15" t="str">
        <f t="shared" si="0"/>
        <v> BBS 115 </v>
      </c>
      <c r="B30" s="19" t="str">
        <f t="shared" si="1"/>
        <v>I</v>
      </c>
      <c r="C30" s="15">
        <f t="shared" si="2"/>
        <v>50675.511299999998</v>
      </c>
      <c r="D30" s="17" t="str">
        <f t="shared" si="3"/>
        <v>vis</v>
      </c>
      <c r="E30" s="52">
        <f>VLOOKUP(C30,Active!C$21:E$972,3,FALSE)</f>
        <v>13043.977896945084</v>
      </c>
      <c r="F30" s="19" t="s">
        <v>64</v>
      </c>
      <c r="G30" s="17" t="str">
        <f t="shared" si="4"/>
        <v>50675.5113</v>
      </c>
      <c r="H30" s="15">
        <f t="shared" si="5"/>
        <v>13044</v>
      </c>
      <c r="I30" s="53" t="s">
        <v>114</v>
      </c>
      <c r="J30" s="54" t="s">
        <v>115</v>
      </c>
      <c r="K30" s="53">
        <v>13044</v>
      </c>
      <c r="L30" s="53" t="s">
        <v>116</v>
      </c>
      <c r="M30" s="54" t="s">
        <v>104</v>
      </c>
      <c r="N30" s="54" t="s">
        <v>111</v>
      </c>
      <c r="O30" s="55" t="s">
        <v>112</v>
      </c>
      <c r="P30" s="55" t="s">
        <v>117</v>
      </c>
    </row>
    <row r="31" spans="1:16" ht="12.75" customHeight="1" thickBot="1" x14ac:dyDescent="0.25">
      <c r="A31" s="15" t="str">
        <f t="shared" si="0"/>
        <v> BBS 126 </v>
      </c>
      <c r="B31" s="19" t="str">
        <f t="shared" si="1"/>
        <v>II</v>
      </c>
      <c r="C31" s="15">
        <f t="shared" si="2"/>
        <v>52135.430899999999</v>
      </c>
      <c r="D31" s="17" t="str">
        <f t="shared" si="3"/>
        <v>vis</v>
      </c>
      <c r="E31" s="52">
        <f>VLOOKUP(C31,Active!C$21:E$972,3,FALSE)</f>
        <v>14581.460415016765</v>
      </c>
      <c r="F31" s="19" t="s">
        <v>64</v>
      </c>
      <c r="G31" s="17" t="str">
        <f t="shared" si="4"/>
        <v>52135.4309</v>
      </c>
      <c r="H31" s="15">
        <f t="shared" si="5"/>
        <v>14581.5</v>
      </c>
      <c r="I31" s="53" t="s">
        <v>118</v>
      </c>
      <c r="J31" s="54" t="s">
        <v>119</v>
      </c>
      <c r="K31" s="53">
        <v>14581.5</v>
      </c>
      <c r="L31" s="53" t="s">
        <v>120</v>
      </c>
      <c r="M31" s="54" t="s">
        <v>104</v>
      </c>
      <c r="N31" s="54" t="s">
        <v>111</v>
      </c>
      <c r="O31" s="55" t="s">
        <v>112</v>
      </c>
      <c r="P31" s="55" t="s">
        <v>121</v>
      </c>
    </row>
    <row r="32" spans="1:16" ht="12.75" customHeight="1" thickBot="1" x14ac:dyDescent="0.25">
      <c r="A32" s="15" t="str">
        <f t="shared" si="0"/>
        <v> BBS 126 </v>
      </c>
      <c r="B32" s="19" t="str">
        <f t="shared" si="1"/>
        <v>II</v>
      </c>
      <c r="C32" s="15">
        <f t="shared" si="2"/>
        <v>52190.506999999998</v>
      </c>
      <c r="D32" s="17" t="str">
        <f t="shared" si="3"/>
        <v>vis</v>
      </c>
      <c r="E32" s="52">
        <f>VLOOKUP(C32,Active!C$21:E$972,3,FALSE)</f>
        <v>14639.462609735958</v>
      </c>
      <c r="F32" s="19" t="s">
        <v>64</v>
      </c>
      <c r="G32" s="17" t="str">
        <f t="shared" si="4"/>
        <v>52190.507</v>
      </c>
      <c r="H32" s="15">
        <f t="shared" si="5"/>
        <v>14639.5</v>
      </c>
      <c r="I32" s="53" t="s">
        <v>122</v>
      </c>
      <c r="J32" s="54" t="s">
        <v>123</v>
      </c>
      <c r="K32" s="53">
        <v>14639.5</v>
      </c>
      <c r="L32" s="53" t="s">
        <v>124</v>
      </c>
      <c r="M32" s="54" t="s">
        <v>104</v>
      </c>
      <c r="N32" s="54" t="s">
        <v>111</v>
      </c>
      <c r="O32" s="55" t="s">
        <v>112</v>
      </c>
      <c r="P32" s="55" t="s">
        <v>121</v>
      </c>
    </row>
    <row r="33" spans="1:16" ht="12.75" customHeight="1" thickBot="1" x14ac:dyDescent="0.25">
      <c r="A33" s="15" t="str">
        <f t="shared" si="0"/>
        <v>IBVS 5806 </v>
      </c>
      <c r="B33" s="19" t="str">
        <f t="shared" si="1"/>
        <v>II</v>
      </c>
      <c r="C33" s="15">
        <f t="shared" si="2"/>
        <v>54047.822699999997</v>
      </c>
      <c r="D33" s="17" t="str">
        <f t="shared" si="3"/>
        <v>vis</v>
      </c>
      <c r="E33" s="52" t="e">
        <f>VLOOKUP(C33,Active!C$21:E$972,3,FALSE)</f>
        <v>#N/A</v>
      </c>
      <c r="F33" s="19" t="s">
        <v>64</v>
      </c>
      <c r="G33" s="17" t="str">
        <f t="shared" si="4"/>
        <v>54047.8227</v>
      </c>
      <c r="H33" s="15">
        <f t="shared" si="5"/>
        <v>16595.5</v>
      </c>
      <c r="I33" s="53" t="s">
        <v>148</v>
      </c>
      <c r="J33" s="54" t="s">
        <v>149</v>
      </c>
      <c r="K33" s="53" t="s">
        <v>150</v>
      </c>
      <c r="L33" s="53" t="s">
        <v>151</v>
      </c>
      <c r="M33" s="54" t="s">
        <v>152</v>
      </c>
      <c r="N33" s="54" t="s">
        <v>105</v>
      </c>
      <c r="O33" s="55" t="s">
        <v>153</v>
      </c>
      <c r="P33" s="56" t="s">
        <v>154</v>
      </c>
    </row>
    <row r="34" spans="1:16" ht="12.75" customHeight="1" thickBot="1" x14ac:dyDescent="0.25">
      <c r="A34" s="15" t="str">
        <f t="shared" si="0"/>
        <v>BAVM 212 </v>
      </c>
      <c r="B34" s="19" t="str">
        <f t="shared" si="1"/>
        <v>I</v>
      </c>
      <c r="C34" s="15">
        <f t="shared" si="2"/>
        <v>55060.514499999997</v>
      </c>
      <c r="D34" s="17" t="str">
        <f t="shared" si="3"/>
        <v>vis</v>
      </c>
      <c r="E34" s="52">
        <f>VLOOKUP(C34,Active!C$21:E$972,3,FALSE)</f>
        <v>17661.948476755351</v>
      </c>
      <c r="F34" s="19" t="s">
        <v>64</v>
      </c>
      <c r="G34" s="17" t="str">
        <f t="shared" si="4"/>
        <v>55060.5145</v>
      </c>
      <c r="H34" s="15">
        <f t="shared" si="5"/>
        <v>17662</v>
      </c>
      <c r="I34" s="53" t="s">
        <v>160</v>
      </c>
      <c r="J34" s="54" t="s">
        <v>161</v>
      </c>
      <c r="K34" s="53" t="s">
        <v>162</v>
      </c>
      <c r="L34" s="53" t="s">
        <v>163</v>
      </c>
      <c r="M34" s="54" t="s">
        <v>152</v>
      </c>
      <c r="N34" s="54" t="s">
        <v>128</v>
      </c>
      <c r="O34" s="55" t="s">
        <v>106</v>
      </c>
      <c r="P34" s="56" t="s">
        <v>164</v>
      </c>
    </row>
    <row r="35" spans="1:16" x14ac:dyDescent="0.2">
      <c r="B35" s="19"/>
      <c r="F35" s="19"/>
    </row>
    <row r="36" spans="1:16" x14ac:dyDescent="0.2">
      <c r="B36" s="19"/>
      <c r="F36" s="19"/>
    </row>
    <row r="37" spans="1:16" x14ac:dyDescent="0.2">
      <c r="B37" s="19"/>
      <c r="F37" s="19"/>
    </row>
    <row r="38" spans="1:16" x14ac:dyDescent="0.2">
      <c r="B38" s="19"/>
      <c r="F38" s="19"/>
    </row>
    <row r="39" spans="1:16" x14ac:dyDescent="0.2">
      <c r="B39" s="19"/>
      <c r="F39" s="19"/>
    </row>
    <row r="40" spans="1:16" x14ac:dyDescent="0.2">
      <c r="B40" s="19"/>
      <c r="F40" s="19"/>
    </row>
    <row r="41" spans="1:16" x14ac:dyDescent="0.2">
      <c r="B41" s="19"/>
      <c r="F41" s="19"/>
    </row>
    <row r="42" spans="1:16" x14ac:dyDescent="0.2">
      <c r="B42" s="19"/>
      <c r="F42" s="19"/>
    </row>
    <row r="43" spans="1:16" x14ac:dyDescent="0.2">
      <c r="B43" s="19"/>
      <c r="F43" s="19"/>
    </row>
    <row r="44" spans="1:16" x14ac:dyDescent="0.2">
      <c r="B44" s="19"/>
      <c r="F44" s="19"/>
    </row>
    <row r="45" spans="1:16" x14ac:dyDescent="0.2">
      <c r="B45" s="19"/>
      <c r="F45" s="19"/>
    </row>
    <row r="46" spans="1:16" x14ac:dyDescent="0.2">
      <c r="B46" s="19"/>
      <c r="F46" s="19"/>
    </row>
    <row r="47" spans="1:16" x14ac:dyDescent="0.2">
      <c r="B47" s="19"/>
      <c r="F47" s="19"/>
    </row>
    <row r="48" spans="1:16" x14ac:dyDescent="0.2">
      <c r="B48" s="19"/>
      <c r="F48" s="19"/>
    </row>
    <row r="49" spans="2:6" x14ac:dyDescent="0.2">
      <c r="B49" s="19"/>
      <c r="F49" s="19"/>
    </row>
    <row r="50" spans="2:6" x14ac:dyDescent="0.2">
      <c r="B50" s="19"/>
      <c r="F50" s="19"/>
    </row>
    <row r="51" spans="2:6" x14ac:dyDescent="0.2">
      <c r="B51" s="19"/>
      <c r="F51" s="19"/>
    </row>
    <row r="52" spans="2:6" x14ac:dyDescent="0.2">
      <c r="B52" s="19"/>
      <c r="F52" s="19"/>
    </row>
    <row r="53" spans="2:6" x14ac:dyDescent="0.2">
      <c r="B53" s="19"/>
      <c r="F53" s="19"/>
    </row>
    <row r="54" spans="2:6" x14ac:dyDescent="0.2">
      <c r="B54" s="19"/>
      <c r="F54" s="19"/>
    </row>
    <row r="55" spans="2:6" x14ac:dyDescent="0.2">
      <c r="B55" s="19"/>
      <c r="F55" s="19"/>
    </row>
    <row r="56" spans="2:6" x14ac:dyDescent="0.2">
      <c r="B56" s="19"/>
      <c r="F56" s="19"/>
    </row>
    <row r="57" spans="2:6" x14ac:dyDescent="0.2">
      <c r="B57" s="19"/>
      <c r="F57" s="19"/>
    </row>
    <row r="58" spans="2:6" x14ac:dyDescent="0.2">
      <c r="B58" s="19"/>
      <c r="F58" s="19"/>
    </row>
    <row r="59" spans="2:6" x14ac:dyDescent="0.2">
      <c r="B59" s="19"/>
      <c r="F59" s="19"/>
    </row>
    <row r="60" spans="2:6" x14ac:dyDescent="0.2">
      <c r="B60" s="19"/>
      <c r="F60" s="19"/>
    </row>
    <row r="61" spans="2:6" x14ac:dyDescent="0.2">
      <c r="B61" s="19"/>
      <c r="F61" s="19"/>
    </row>
    <row r="62" spans="2:6" x14ac:dyDescent="0.2">
      <c r="B62" s="19"/>
      <c r="F62" s="19"/>
    </row>
    <row r="63" spans="2:6" x14ac:dyDescent="0.2">
      <c r="B63" s="19"/>
      <c r="F63" s="19"/>
    </row>
    <row r="64" spans="2:6" x14ac:dyDescent="0.2">
      <c r="B64" s="19"/>
      <c r="F64" s="19"/>
    </row>
    <row r="65" spans="2:6" x14ac:dyDescent="0.2">
      <c r="B65" s="19"/>
      <c r="F65" s="19"/>
    </row>
    <row r="66" spans="2:6" x14ac:dyDescent="0.2">
      <c r="B66" s="19"/>
      <c r="F66" s="19"/>
    </row>
    <row r="67" spans="2:6" x14ac:dyDescent="0.2">
      <c r="B67" s="19"/>
      <c r="F67" s="19"/>
    </row>
    <row r="68" spans="2:6" x14ac:dyDescent="0.2">
      <c r="B68" s="19"/>
      <c r="F68" s="19"/>
    </row>
    <row r="69" spans="2:6" x14ac:dyDescent="0.2">
      <c r="B69" s="19"/>
      <c r="F69" s="19"/>
    </row>
    <row r="70" spans="2:6" x14ac:dyDescent="0.2">
      <c r="B70" s="19"/>
      <c r="F70" s="19"/>
    </row>
    <row r="71" spans="2:6" x14ac:dyDescent="0.2">
      <c r="B71" s="19"/>
      <c r="F71" s="19"/>
    </row>
    <row r="72" spans="2:6" x14ac:dyDescent="0.2">
      <c r="B72" s="19"/>
      <c r="F72" s="19"/>
    </row>
    <row r="73" spans="2:6" x14ac:dyDescent="0.2">
      <c r="B73" s="19"/>
      <c r="F73" s="19"/>
    </row>
    <row r="74" spans="2:6" x14ac:dyDescent="0.2">
      <c r="B74" s="19"/>
      <c r="F74" s="19"/>
    </row>
    <row r="75" spans="2:6" x14ac:dyDescent="0.2">
      <c r="B75" s="19"/>
      <c r="F75" s="19"/>
    </row>
    <row r="76" spans="2:6" x14ac:dyDescent="0.2">
      <c r="B76" s="19"/>
      <c r="F76" s="19"/>
    </row>
    <row r="77" spans="2:6" x14ac:dyDescent="0.2">
      <c r="B77" s="19"/>
      <c r="F77" s="19"/>
    </row>
    <row r="78" spans="2:6" x14ac:dyDescent="0.2">
      <c r="B78" s="19"/>
      <c r="F78" s="19"/>
    </row>
    <row r="79" spans="2:6" x14ac:dyDescent="0.2">
      <c r="B79" s="19"/>
      <c r="F79" s="19"/>
    </row>
    <row r="80" spans="2:6" x14ac:dyDescent="0.2">
      <c r="B80" s="19"/>
      <c r="F80" s="19"/>
    </row>
    <row r="81" spans="2:6" x14ac:dyDescent="0.2">
      <c r="B81" s="19"/>
      <c r="F81" s="19"/>
    </row>
    <row r="82" spans="2:6" x14ac:dyDescent="0.2">
      <c r="B82" s="19"/>
      <c r="F82" s="19"/>
    </row>
    <row r="83" spans="2:6" x14ac:dyDescent="0.2">
      <c r="B83" s="19"/>
      <c r="F83" s="19"/>
    </row>
    <row r="84" spans="2:6" x14ac:dyDescent="0.2">
      <c r="B84" s="19"/>
      <c r="F84" s="19"/>
    </row>
    <row r="85" spans="2:6" x14ac:dyDescent="0.2">
      <c r="B85" s="19"/>
      <c r="F85" s="19"/>
    </row>
    <row r="86" spans="2:6" x14ac:dyDescent="0.2">
      <c r="B86" s="19"/>
      <c r="F86" s="19"/>
    </row>
    <row r="87" spans="2:6" x14ac:dyDescent="0.2">
      <c r="B87" s="19"/>
      <c r="F87" s="19"/>
    </row>
    <row r="88" spans="2:6" x14ac:dyDescent="0.2">
      <c r="B88" s="19"/>
      <c r="F88" s="19"/>
    </row>
    <row r="89" spans="2:6" x14ac:dyDescent="0.2">
      <c r="B89" s="19"/>
      <c r="F89" s="19"/>
    </row>
    <row r="90" spans="2:6" x14ac:dyDescent="0.2">
      <c r="B90" s="19"/>
      <c r="F90" s="19"/>
    </row>
    <row r="91" spans="2:6" x14ac:dyDescent="0.2">
      <c r="B91" s="19"/>
      <c r="F91" s="19"/>
    </row>
    <row r="92" spans="2:6" x14ac:dyDescent="0.2">
      <c r="B92" s="19"/>
      <c r="F92" s="19"/>
    </row>
    <row r="93" spans="2:6" x14ac:dyDescent="0.2">
      <c r="B93" s="19"/>
      <c r="F93" s="19"/>
    </row>
    <row r="94" spans="2:6" x14ac:dyDescent="0.2">
      <c r="B94" s="19"/>
      <c r="F94" s="19"/>
    </row>
    <row r="95" spans="2:6" x14ac:dyDescent="0.2">
      <c r="B95" s="19"/>
      <c r="F95" s="19"/>
    </row>
    <row r="96" spans="2:6" x14ac:dyDescent="0.2">
      <c r="B96" s="19"/>
      <c r="F96" s="19"/>
    </row>
    <row r="97" spans="2:6" x14ac:dyDescent="0.2">
      <c r="B97" s="19"/>
      <c r="F97" s="19"/>
    </row>
    <row r="98" spans="2:6" x14ac:dyDescent="0.2">
      <c r="B98" s="19"/>
      <c r="F98" s="19"/>
    </row>
    <row r="99" spans="2:6" x14ac:dyDescent="0.2">
      <c r="B99" s="19"/>
      <c r="F99" s="19"/>
    </row>
    <row r="100" spans="2:6" x14ac:dyDescent="0.2">
      <c r="B100" s="19"/>
      <c r="F100" s="19"/>
    </row>
    <row r="101" spans="2:6" x14ac:dyDescent="0.2">
      <c r="B101" s="19"/>
      <c r="F101" s="19"/>
    </row>
    <row r="102" spans="2:6" x14ac:dyDescent="0.2">
      <c r="B102" s="19"/>
      <c r="F102" s="19"/>
    </row>
    <row r="103" spans="2:6" x14ac:dyDescent="0.2">
      <c r="B103" s="19"/>
      <c r="F103" s="19"/>
    </row>
    <row r="104" spans="2:6" x14ac:dyDescent="0.2">
      <c r="B104" s="19"/>
      <c r="F104" s="19"/>
    </row>
    <row r="105" spans="2:6" x14ac:dyDescent="0.2">
      <c r="B105" s="19"/>
      <c r="F105" s="19"/>
    </row>
    <row r="106" spans="2:6" x14ac:dyDescent="0.2">
      <c r="B106" s="19"/>
      <c r="F106" s="19"/>
    </row>
    <row r="107" spans="2:6" x14ac:dyDescent="0.2">
      <c r="B107" s="19"/>
      <c r="F107" s="19"/>
    </row>
    <row r="108" spans="2:6" x14ac:dyDescent="0.2">
      <c r="B108" s="19"/>
      <c r="F108" s="19"/>
    </row>
    <row r="109" spans="2:6" x14ac:dyDescent="0.2">
      <c r="B109" s="19"/>
      <c r="F109" s="19"/>
    </row>
    <row r="110" spans="2:6" x14ac:dyDescent="0.2">
      <c r="B110" s="19"/>
      <c r="F110" s="19"/>
    </row>
    <row r="111" spans="2:6" x14ac:dyDescent="0.2">
      <c r="B111" s="19"/>
      <c r="F111" s="19"/>
    </row>
    <row r="112" spans="2:6" x14ac:dyDescent="0.2">
      <c r="B112" s="19"/>
      <c r="F112" s="19"/>
    </row>
    <row r="113" spans="2:6" x14ac:dyDescent="0.2">
      <c r="B113" s="19"/>
      <c r="F113" s="19"/>
    </row>
    <row r="114" spans="2:6" x14ac:dyDescent="0.2">
      <c r="B114" s="19"/>
      <c r="F114" s="19"/>
    </row>
    <row r="115" spans="2:6" x14ac:dyDescent="0.2">
      <c r="B115" s="19"/>
      <c r="F115" s="19"/>
    </row>
    <row r="116" spans="2:6" x14ac:dyDescent="0.2">
      <c r="B116" s="19"/>
      <c r="F116" s="19"/>
    </row>
    <row r="117" spans="2:6" x14ac:dyDescent="0.2">
      <c r="B117" s="19"/>
      <c r="F117" s="19"/>
    </row>
    <row r="118" spans="2:6" x14ac:dyDescent="0.2">
      <c r="B118" s="19"/>
      <c r="F118" s="19"/>
    </row>
    <row r="119" spans="2:6" x14ac:dyDescent="0.2">
      <c r="B119" s="19"/>
      <c r="F119" s="19"/>
    </row>
    <row r="120" spans="2:6" x14ac:dyDescent="0.2">
      <c r="B120" s="19"/>
      <c r="F120" s="19"/>
    </row>
    <row r="121" spans="2:6" x14ac:dyDescent="0.2">
      <c r="B121" s="19"/>
      <c r="F121" s="19"/>
    </row>
    <row r="122" spans="2:6" x14ac:dyDescent="0.2">
      <c r="B122" s="19"/>
      <c r="F122" s="19"/>
    </row>
    <row r="123" spans="2:6" x14ac:dyDescent="0.2">
      <c r="B123" s="19"/>
      <c r="F123" s="19"/>
    </row>
    <row r="124" spans="2:6" x14ac:dyDescent="0.2">
      <c r="B124" s="19"/>
      <c r="F124" s="19"/>
    </row>
    <row r="125" spans="2:6" x14ac:dyDescent="0.2">
      <c r="B125" s="19"/>
      <c r="F125" s="19"/>
    </row>
    <row r="126" spans="2:6" x14ac:dyDescent="0.2">
      <c r="B126" s="19"/>
      <c r="F126" s="19"/>
    </row>
    <row r="127" spans="2:6" x14ac:dyDescent="0.2">
      <c r="B127" s="19"/>
      <c r="F127" s="19"/>
    </row>
    <row r="128" spans="2:6" x14ac:dyDescent="0.2">
      <c r="B128" s="19"/>
      <c r="F128" s="19"/>
    </row>
    <row r="129" spans="2:6" x14ac:dyDescent="0.2">
      <c r="B129" s="19"/>
      <c r="F129" s="19"/>
    </row>
    <row r="130" spans="2:6" x14ac:dyDescent="0.2">
      <c r="B130" s="19"/>
      <c r="F130" s="19"/>
    </row>
    <row r="131" spans="2:6" x14ac:dyDescent="0.2">
      <c r="B131" s="19"/>
      <c r="F131" s="19"/>
    </row>
    <row r="132" spans="2:6" x14ac:dyDescent="0.2">
      <c r="B132" s="19"/>
      <c r="F132" s="19"/>
    </row>
    <row r="133" spans="2:6" x14ac:dyDescent="0.2">
      <c r="B133" s="19"/>
      <c r="F133" s="19"/>
    </row>
    <row r="134" spans="2:6" x14ac:dyDescent="0.2">
      <c r="B134" s="19"/>
      <c r="F134" s="19"/>
    </row>
    <row r="135" spans="2:6" x14ac:dyDescent="0.2">
      <c r="B135" s="19"/>
      <c r="F135" s="19"/>
    </row>
    <row r="136" spans="2:6" x14ac:dyDescent="0.2">
      <c r="B136" s="19"/>
      <c r="F136" s="19"/>
    </row>
    <row r="137" spans="2:6" x14ac:dyDescent="0.2">
      <c r="B137" s="19"/>
      <c r="F137" s="19"/>
    </row>
    <row r="138" spans="2:6" x14ac:dyDescent="0.2">
      <c r="B138" s="19"/>
      <c r="F138" s="19"/>
    </row>
    <row r="139" spans="2:6" x14ac:dyDescent="0.2">
      <c r="B139" s="19"/>
      <c r="F139" s="19"/>
    </row>
    <row r="140" spans="2:6" x14ac:dyDescent="0.2">
      <c r="B140" s="19"/>
      <c r="F140" s="19"/>
    </row>
    <row r="141" spans="2:6" x14ac:dyDescent="0.2">
      <c r="B141" s="19"/>
      <c r="F141" s="19"/>
    </row>
    <row r="142" spans="2:6" x14ac:dyDescent="0.2">
      <c r="B142" s="19"/>
      <c r="F142" s="19"/>
    </row>
    <row r="143" spans="2:6" x14ac:dyDescent="0.2">
      <c r="B143" s="19"/>
      <c r="F143" s="19"/>
    </row>
    <row r="144" spans="2:6" x14ac:dyDescent="0.2">
      <c r="B144" s="19"/>
      <c r="F144" s="19"/>
    </row>
    <row r="145" spans="2:6" x14ac:dyDescent="0.2">
      <c r="B145" s="19"/>
      <c r="F145" s="19"/>
    </row>
    <row r="146" spans="2:6" x14ac:dyDescent="0.2">
      <c r="B146" s="19"/>
      <c r="F146" s="19"/>
    </row>
    <row r="147" spans="2:6" x14ac:dyDescent="0.2">
      <c r="B147" s="19"/>
      <c r="F147" s="19"/>
    </row>
    <row r="148" spans="2:6" x14ac:dyDescent="0.2">
      <c r="B148" s="19"/>
      <c r="F148" s="19"/>
    </row>
    <row r="149" spans="2:6" x14ac:dyDescent="0.2">
      <c r="B149" s="19"/>
      <c r="F149" s="19"/>
    </row>
    <row r="150" spans="2:6" x14ac:dyDescent="0.2">
      <c r="B150" s="19"/>
      <c r="F150" s="19"/>
    </row>
    <row r="151" spans="2:6" x14ac:dyDescent="0.2">
      <c r="B151" s="19"/>
      <c r="F151" s="19"/>
    </row>
    <row r="152" spans="2:6" x14ac:dyDescent="0.2">
      <c r="B152" s="19"/>
      <c r="F152" s="19"/>
    </row>
    <row r="153" spans="2:6" x14ac:dyDescent="0.2">
      <c r="B153" s="19"/>
      <c r="F153" s="19"/>
    </row>
    <row r="154" spans="2:6" x14ac:dyDescent="0.2">
      <c r="B154" s="19"/>
      <c r="F154" s="19"/>
    </row>
    <row r="155" spans="2:6" x14ac:dyDescent="0.2">
      <c r="B155" s="19"/>
      <c r="F155" s="19"/>
    </row>
    <row r="156" spans="2:6" x14ac:dyDescent="0.2">
      <c r="B156" s="19"/>
      <c r="F156" s="19"/>
    </row>
    <row r="157" spans="2:6" x14ac:dyDescent="0.2">
      <c r="B157" s="19"/>
      <c r="F157" s="19"/>
    </row>
    <row r="158" spans="2:6" x14ac:dyDescent="0.2">
      <c r="B158" s="19"/>
      <c r="F158" s="19"/>
    </row>
    <row r="159" spans="2:6" x14ac:dyDescent="0.2">
      <c r="B159" s="19"/>
      <c r="F159" s="19"/>
    </row>
    <row r="160" spans="2:6" x14ac:dyDescent="0.2">
      <c r="B160" s="19"/>
      <c r="F160" s="19"/>
    </row>
    <row r="161" spans="2:6" x14ac:dyDescent="0.2">
      <c r="B161" s="19"/>
      <c r="F161" s="19"/>
    </row>
    <row r="162" spans="2:6" x14ac:dyDescent="0.2">
      <c r="B162" s="19"/>
      <c r="F162" s="19"/>
    </row>
    <row r="163" spans="2:6" x14ac:dyDescent="0.2">
      <c r="B163" s="19"/>
      <c r="F163" s="19"/>
    </row>
    <row r="164" spans="2:6" x14ac:dyDescent="0.2">
      <c r="B164" s="19"/>
      <c r="F164" s="19"/>
    </row>
    <row r="165" spans="2:6" x14ac:dyDescent="0.2">
      <c r="B165" s="19"/>
      <c r="F165" s="19"/>
    </row>
    <row r="166" spans="2:6" x14ac:dyDescent="0.2">
      <c r="B166" s="19"/>
      <c r="F166" s="19"/>
    </row>
    <row r="167" spans="2:6" x14ac:dyDescent="0.2">
      <c r="B167" s="19"/>
      <c r="F167" s="19"/>
    </row>
    <row r="168" spans="2:6" x14ac:dyDescent="0.2">
      <c r="B168" s="19"/>
      <c r="F168" s="19"/>
    </row>
    <row r="169" spans="2:6" x14ac:dyDescent="0.2">
      <c r="B169" s="19"/>
      <c r="F169" s="19"/>
    </row>
    <row r="170" spans="2:6" x14ac:dyDescent="0.2">
      <c r="B170" s="19"/>
      <c r="F170" s="19"/>
    </row>
    <row r="171" spans="2:6" x14ac:dyDescent="0.2">
      <c r="B171" s="19"/>
      <c r="F171" s="19"/>
    </row>
    <row r="172" spans="2:6" x14ac:dyDescent="0.2">
      <c r="B172" s="19"/>
      <c r="F172" s="19"/>
    </row>
    <row r="173" spans="2:6" x14ac:dyDescent="0.2">
      <c r="B173" s="19"/>
      <c r="F173" s="19"/>
    </row>
    <row r="174" spans="2:6" x14ac:dyDescent="0.2">
      <c r="B174" s="19"/>
      <c r="F174" s="19"/>
    </row>
    <row r="175" spans="2:6" x14ac:dyDescent="0.2">
      <c r="B175" s="19"/>
      <c r="F175" s="19"/>
    </row>
    <row r="176" spans="2:6" x14ac:dyDescent="0.2">
      <c r="B176" s="19"/>
      <c r="F176" s="19"/>
    </row>
    <row r="177" spans="2:6" x14ac:dyDescent="0.2">
      <c r="B177" s="19"/>
      <c r="F177" s="19"/>
    </row>
    <row r="178" spans="2:6" x14ac:dyDescent="0.2">
      <c r="B178" s="19"/>
      <c r="F178" s="19"/>
    </row>
    <row r="179" spans="2:6" x14ac:dyDescent="0.2">
      <c r="B179" s="19"/>
      <c r="F179" s="19"/>
    </row>
    <row r="180" spans="2:6" x14ac:dyDescent="0.2">
      <c r="B180" s="19"/>
      <c r="F180" s="19"/>
    </row>
    <row r="181" spans="2:6" x14ac:dyDescent="0.2">
      <c r="B181" s="19"/>
      <c r="F181" s="19"/>
    </row>
    <row r="182" spans="2:6" x14ac:dyDescent="0.2">
      <c r="B182" s="19"/>
      <c r="F182" s="19"/>
    </row>
    <row r="183" spans="2:6" x14ac:dyDescent="0.2">
      <c r="B183" s="19"/>
      <c r="F183" s="19"/>
    </row>
    <row r="184" spans="2:6" x14ac:dyDescent="0.2">
      <c r="B184" s="19"/>
      <c r="F184" s="19"/>
    </row>
    <row r="185" spans="2:6" x14ac:dyDescent="0.2">
      <c r="B185" s="19"/>
      <c r="F185" s="19"/>
    </row>
    <row r="186" spans="2:6" x14ac:dyDescent="0.2">
      <c r="B186" s="19"/>
      <c r="F186" s="19"/>
    </row>
    <row r="187" spans="2:6" x14ac:dyDescent="0.2">
      <c r="B187" s="19"/>
      <c r="F187" s="19"/>
    </row>
    <row r="188" spans="2:6" x14ac:dyDescent="0.2">
      <c r="B188" s="19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</sheetData>
  <phoneticPr fontId="7" type="noConversion"/>
  <hyperlinks>
    <hyperlink ref="P29" r:id="rId1" display="http://www.bav-astro.de/sfs/BAVM_link.php?BAVMnr=68"/>
    <hyperlink ref="P13" r:id="rId2" display="http://www.bav-astro.de/sfs/BAVM_link.php?BAVMnr=158"/>
    <hyperlink ref="P15" r:id="rId3" display="http://www.bav-astro.de/sfs/BAVM_link.php?BAVMnr=172"/>
    <hyperlink ref="P16" r:id="rId4" display="http://www.konkoly.hu/cgi-bin/IBVS?5690"/>
    <hyperlink ref="P33" r:id="rId5" display="http://www.konkoly.hu/cgi-bin/IBVS?5806"/>
    <hyperlink ref="P17" r:id="rId6" display="http://www.konkoly.hu/cgi-bin/IBVS?5871"/>
    <hyperlink ref="P34" r:id="rId7" display="http://www.bav-astro.de/sfs/BAVM_link.php?BAVMnr=212"/>
    <hyperlink ref="P18" r:id="rId8" display="http://www.konkoly.hu/cgi-bin/IBVS?5960"/>
    <hyperlink ref="P19" r:id="rId9" display="http://www.konkoly.hu/cgi-bin/IBVS?609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2023-08-19T07:43:58Z</dcterms:modified>
</cp:coreProperties>
</file>