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17B4F47-5861-4958-A5E9-156560CE22E3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4" i="1" l="1"/>
  <c r="F54" i="1" s="1"/>
  <c r="G54" i="1" s="1"/>
  <c r="K54" i="1" s="1"/>
  <c r="Q54" i="1"/>
  <c r="Q53" i="1"/>
  <c r="E35" i="1"/>
  <c r="F35" i="1"/>
  <c r="Q51" i="1"/>
  <c r="Q52" i="1"/>
  <c r="E53" i="1"/>
  <c r="F53" i="1"/>
  <c r="G53" i="1" s="1"/>
  <c r="K53" i="1" s="1"/>
  <c r="E43" i="1"/>
  <c r="F43" i="1" s="1"/>
  <c r="G43" i="1" s="1"/>
  <c r="K43" i="1" s="1"/>
  <c r="E31" i="1"/>
  <c r="F31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8" i="1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39" i="2"/>
  <c r="C39" i="2"/>
  <c r="E39" i="2"/>
  <c r="G15" i="2"/>
  <c r="C15" i="2"/>
  <c r="G14" i="2"/>
  <c r="C14" i="2"/>
  <c r="G13" i="2"/>
  <c r="C13" i="2"/>
  <c r="G12" i="2"/>
  <c r="C12" i="2"/>
  <c r="G38" i="2"/>
  <c r="C38" i="2"/>
  <c r="G37" i="2"/>
  <c r="C37" i="2"/>
  <c r="G36" i="2"/>
  <c r="C36" i="2"/>
  <c r="E36" i="2"/>
  <c r="G11" i="2"/>
  <c r="C11" i="2"/>
  <c r="G35" i="2"/>
  <c r="C35" i="2"/>
  <c r="G34" i="2"/>
  <c r="C34" i="2"/>
  <c r="G33" i="2"/>
  <c r="C33" i="2"/>
  <c r="E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39" i="2"/>
  <c r="B39" i="2"/>
  <c r="D39" i="2"/>
  <c r="A39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38" i="2"/>
  <c r="D38" i="2"/>
  <c r="B38" i="2"/>
  <c r="A38" i="2"/>
  <c r="H37" i="2"/>
  <c r="B37" i="2"/>
  <c r="D37" i="2"/>
  <c r="A37" i="2"/>
  <c r="H36" i="2"/>
  <c r="D36" i="2"/>
  <c r="B36" i="2"/>
  <c r="A36" i="2"/>
  <c r="H11" i="2"/>
  <c r="B11" i="2"/>
  <c r="D11" i="2"/>
  <c r="A11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Q50" i="1"/>
  <c r="Q49" i="1"/>
  <c r="Q39" i="1"/>
  <c r="Q48" i="1"/>
  <c r="Q46" i="1"/>
  <c r="Q47" i="1"/>
  <c r="Q45" i="1"/>
  <c r="F16" i="1"/>
  <c r="F17" i="1" s="1"/>
  <c r="Q44" i="1"/>
  <c r="Q43" i="1"/>
  <c r="C17" i="1"/>
  <c r="Q42" i="1"/>
  <c r="Q40" i="1"/>
  <c r="Q41" i="1"/>
  <c r="Q37" i="1"/>
  <c r="Q34" i="1"/>
  <c r="E35" i="2"/>
  <c r="E28" i="1"/>
  <c r="F28" i="1" s="1"/>
  <c r="G28" i="1" s="1"/>
  <c r="H28" i="1" s="1"/>
  <c r="E48" i="1"/>
  <c r="F48" i="1"/>
  <c r="G48" i="1" s="1"/>
  <c r="K48" i="1" s="1"/>
  <c r="E40" i="1"/>
  <c r="F40" i="1" s="1"/>
  <c r="G40" i="1" s="1"/>
  <c r="J40" i="1" s="1"/>
  <c r="E33" i="1"/>
  <c r="F33" i="1"/>
  <c r="G33" i="1" s="1"/>
  <c r="H33" i="1" s="1"/>
  <c r="E25" i="1"/>
  <c r="F25" i="1" s="1"/>
  <c r="G25" i="1" s="1"/>
  <c r="H25" i="1" s="1"/>
  <c r="E45" i="1"/>
  <c r="F45" i="1"/>
  <c r="G45" i="1" s="1"/>
  <c r="K45" i="1" s="1"/>
  <c r="E37" i="1"/>
  <c r="F37" i="1" s="1"/>
  <c r="G37" i="1" s="1"/>
  <c r="I37" i="1" s="1"/>
  <c r="E30" i="1"/>
  <c r="E22" i="1"/>
  <c r="E50" i="1"/>
  <c r="F50" i="1"/>
  <c r="G50" i="1" s="1"/>
  <c r="J50" i="1" s="1"/>
  <c r="E42" i="1"/>
  <c r="F42" i="1" s="1"/>
  <c r="G42" i="1" s="1"/>
  <c r="J42" i="1" s="1"/>
  <c r="E52" i="1"/>
  <c r="F52" i="1"/>
  <c r="G52" i="1" s="1"/>
  <c r="K52" i="1" s="1"/>
  <c r="E27" i="1"/>
  <c r="F27" i="1" s="1"/>
  <c r="G27" i="1" s="1"/>
  <c r="H27" i="1" s="1"/>
  <c r="E47" i="1"/>
  <c r="F47" i="1"/>
  <c r="G47" i="1"/>
  <c r="K47" i="1" s="1"/>
  <c r="E39" i="1"/>
  <c r="F39" i="1" s="1"/>
  <c r="G39" i="1" s="1"/>
  <c r="I39" i="1" s="1"/>
  <c r="E32" i="1"/>
  <c r="F32" i="1"/>
  <c r="G32" i="1"/>
  <c r="H32" i="1" s="1"/>
  <c r="E24" i="1"/>
  <c r="F24" i="1" s="1"/>
  <c r="G24" i="1" s="1"/>
  <c r="H24" i="1" s="1"/>
  <c r="E44" i="1"/>
  <c r="F44" i="1"/>
  <c r="G44" i="1"/>
  <c r="K44" i="1" s="1"/>
  <c r="E36" i="1"/>
  <c r="F36" i="1" s="1"/>
  <c r="G36" i="1" s="1"/>
  <c r="I36" i="1" s="1"/>
  <c r="G31" i="1"/>
  <c r="H31" i="1" s="1"/>
  <c r="E29" i="1"/>
  <c r="E49" i="1"/>
  <c r="F49" i="1" s="1"/>
  <c r="G49" i="1" s="1"/>
  <c r="J49" i="1" s="1"/>
  <c r="E41" i="1"/>
  <c r="F41" i="1"/>
  <c r="G41" i="1"/>
  <c r="K41" i="1" s="1"/>
  <c r="G35" i="1"/>
  <c r="I35" i="1"/>
  <c r="E23" i="1"/>
  <c r="F23" i="1" s="1"/>
  <c r="G23" i="1" s="1"/>
  <c r="H23" i="1" s="1"/>
  <c r="E34" i="1"/>
  <c r="F34" i="1"/>
  <c r="E26" i="1"/>
  <c r="F26" i="1" s="1"/>
  <c r="G26" i="1" s="1"/>
  <c r="H26" i="1" s="1"/>
  <c r="E21" i="1"/>
  <c r="F21" i="1" s="1"/>
  <c r="G21" i="1" s="1"/>
  <c r="H21" i="1" s="1"/>
  <c r="E46" i="1"/>
  <c r="E38" i="1"/>
  <c r="E51" i="1"/>
  <c r="F51" i="1"/>
  <c r="G51" i="1"/>
  <c r="K51" i="1" s="1"/>
  <c r="E22" i="2"/>
  <c r="E27" i="2"/>
  <c r="E19" i="2"/>
  <c r="F29" i="1"/>
  <c r="G29" i="1" s="1"/>
  <c r="H29" i="1" s="1"/>
  <c r="E31" i="2"/>
  <c r="E24" i="2"/>
  <c r="F22" i="1"/>
  <c r="G22" i="1"/>
  <c r="H22" i="1"/>
  <c r="E30" i="2"/>
  <c r="E37" i="2"/>
  <c r="E21" i="2"/>
  <c r="E15" i="2"/>
  <c r="F38" i="1"/>
  <c r="G38" i="1" s="1"/>
  <c r="J38" i="1" s="1"/>
  <c r="E38" i="2"/>
  <c r="E32" i="2"/>
  <c r="F30" i="1"/>
  <c r="G30" i="1" s="1"/>
  <c r="H30" i="1" s="1"/>
  <c r="E17" i="2"/>
  <c r="E16" i="2"/>
  <c r="E28" i="2"/>
  <c r="E12" i="2"/>
  <c r="E34" i="2"/>
  <c r="E13" i="2"/>
  <c r="E18" i="2"/>
  <c r="F46" i="1"/>
  <c r="G46" i="1"/>
  <c r="K46" i="1"/>
  <c r="E11" i="2"/>
  <c r="E20" i="2"/>
  <c r="E26" i="2"/>
  <c r="E25" i="2"/>
  <c r="E29" i="2"/>
  <c r="E14" i="2"/>
  <c r="C12" i="1"/>
  <c r="C11" i="1"/>
  <c r="E23" i="2" l="1"/>
  <c r="O54" i="1"/>
  <c r="O23" i="1"/>
  <c r="C15" i="1"/>
  <c r="O32" i="1"/>
  <c r="O34" i="1"/>
  <c r="O33" i="1"/>
  <c r="O21" i="1"/>
  <c r="O29" i="1"/>
  <c r="O27" i="1"/>
  <c r="O53" i="1"/>
  <c r="O31" i="1"/>
  <c r="O42" i="1"/>
  <c r="O39" i="1"/>
  <c r="O45" i="1"/>
  <c r="O48" i="1"/>
  <c r="O30" i="1"/>
  <c r="O36" i="1"/>
  <c r="O49" i="1"/>
  <c r="O37" i="1"/>
  <c r="O43" i="1"/>
  <c r="O22" i="1"/>
  <c r="O44" i="1"/>
  <c r="O52" i="1"/>
  <c r="O51" i="1"/>
  <c r="O50" i="1"/>
  <c r="O26" i="1"/>
  <c r="O38" i="1"/>
  <c r="O35" i="1"/>
  <c r="O25" i="1"/>
  <c r="O47" i="1"/>
  <c r="O28" i="1"/>
  <c r="O41" i="1"/>
  <c r="O46" i="1"/>
  <c r="O24" i="1"/>
  <c r="O40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<sst xmlns="http://schemas.openxmlformats.org/spreadsheetml/2006/main" count="357" uniqueCount="199">
  <si>
    <t>IBVS 6244</t>
  </si>
  <si>
    <t>IBVS 6196</t>
  </si>
  <si>
    <t>0.0032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</si>
  <si>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</si>
  <si>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</si>
  <si>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</si>
  <si>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</si>
  <si>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</si>
  <si>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</si>
  <si>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</si>
  <si>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</si>
  <si>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</si>
  <si>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</si>
  <si>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</si>
  <si>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</si>
  <si>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</si>
  <si>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</si>
  <si>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</si>
  <si>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</si>
  <si>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</si>
  <si>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</si>
  <si>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</si>
  <si>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</si>
  <si>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</si>
  <si>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</si>
  <si>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</si>
  <si>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</si>
  <si>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</si>
  <si>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</si>
  <si>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</si>
  <si>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</si>
  <si>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</si>
  <si>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Bull.103</t>
  </si>
  <si>
    <t>B</t>
  </si>
  <si>
    <t>IBVS 5583</t>
  </si>
  <si>
    <t>I</t>
  </si>
  <si>
    <t>IBVS 5296</t>
  </si>
  <si>
    <t># of data points:</t>
  </si>
  <si>
    <t>IBVS 5731</t>
  </si>
  <si>
    <t>EA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</si>
  <si>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</si>
  <si>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</si>
  <si>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</si>
  <si>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</si>
  <si>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</si>
  <si>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</si>
  <si>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</si>
  <si>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II</t>
  </si>
  <si>
    <t>IBVS 5960</t>
  </si>
  <si>
    <t>Add cycle</t>
  </si>
  <si>
    <t>Old Cycle</t>
  </si>
  <si>
    <t>IBVS 6007</t>
  </si>
  <si>
    <t>IBVS 5997</t>
  </si>
  <si>
    <t>2013JAVSO..41..122</t>
  </si>
  <si>
    <t>OEJV 0160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</si>
  <si>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</si>
  <si>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</si>
  <si>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</si>
  <si>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</si>
  <si>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</si>
  <si>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</si>
  <si>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</si>
  <si>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</si>
  <si>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</si>
  <si>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</si>
  <si>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</si>
  <si>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</si>
  <si>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</si>
  <si>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2429598.291 </t>
  </si>
  <si>
    <t> 30.11.1939 18:59 </t>
  </si>
  <si>
    <t> -0.024 </t>
  </si>
  <si>
    <t>P </t>
  </si>
  <si>
    <t> A.A.Wachmann </t>
  </si>
  <si>
    <t>IBVS 1066 </t>
  </si>
  <si>
    <t>2430021.280 </t>
  </si>
  <si>
    <t> 26.01.1941 18:43 </t>
  </si>
  <si>
    <t> -0.023 </t>
  </si>
  <si>
    <t>2430591.600 </t>
  </si>
  <si>
    <t> 20.08.1942 02:24 </t>
  </si>
  <si>
    <t> 0.000 </t>
  </si>
  <si>
    <t>2430930.434 </t>
  </si>
  <si>
    <t> 24.07.1943 22:24 </t>
  </si>
  <si>
    <t> 0.023 </t>
  </si>
  <si>
    <t>2431029.317 </t>
  </si>
  <si>
    <t> 31.10.1943 19:36 </t>
  </si>
  <si>
    <t> -0.001 </t>
  </si>
  <si>
    <t>2432119.440 </t>
  </si>
  <si>
    <t> 25.10.1946 22:33 </t>
  </si>
  <si>
    <t> 0.034 </t>
  </si>
  <si>
    <t>2439533.268 </t>
  </si>
  <si>
    <t> 11.02.1967 18:25 </t>
  </si>
  <si>
    <t> 0.003 </t>
  </si>
  <si>
    <t> F.Gieseking </t>
  </si>
  <si>
    <t>2440425.551 </t>
  </si>
  <si>
    <t> 23.07.1969 01:13 </t>
  </si>
  <si>
    <t> 0.013 </t>
  </si>
  <si>
    <t>2440444.526 </t>
  </si>
  <si>
    <t> 11.08.1969 00:37 </t>
  </si>
  <si>
    <t> 0.048 </t>
  </si>
  <si>
    <t>2441071.560 </t>
  </si>
  <si>
    <t> 30.04.1971 01:26 </t>
  </si>
  <si>
    <t> -0.034 </t>
  </si>
  <si>
    <t>2441130.506 </t>
  </si>
  <si>
    <t> 28.06.1971 00:08 </t>
  </si>
  <si>
    <t> -0.011 </t>
  </si>
  <si>
    <t>2441149.491 </t>
  </si>
  <si>
    <t> 16.07.1971 23:47 </t>
  </si>
  <si>
    <t>2441151.526 </t>
  </si>
  <si>
    <t> 19.07.1971 00:37 </t>
  </si>
  <si>
    <t> -0.036 </t>
  </si>
  <si>
    <t>2444114.580 </t>
  </si>
  <si>
    <t> 29.08.1979 01:55 </t>
  </si>
  <si>
    <t>E </t>
  </si>
  <si>
    <t>?</t>
  </si>
  <si>
    <t> AAPS 46.365 </t>
  </si>
  <si>
    <t>2446488.384 </t>
  </si>
  <si>
    <t> 26.02.1986 21:12 </t>
  </si>
  <si>
    <t> 0.022 </t>
  </si>
  <si>
    <t>V </t>
  </si>
  <si>
    <t> I.Middlemist </t>
  </si>
  <si>
    <t> VSSC 66.36 </t>
  </si>
  <si>
    <t>2446769.313 </t>
  </si>
  <si>
    <t> 04.12.1986 19:30 </t>
  </si>
  <si>
    <t> 0.012 </t>
  </si>
  <si>
    <t> P.Frank </t>
  </si>
  <si>
    <t>BAVM 50 </t>
  </si>
  <si>
    <t>2448986.3089 </t>
  </si>
  <si>
    <t> 29.12.1992 19:24 </t>
  </si>
  <si>
    <t> 0.0047 </t>
  </si>
  <si>
    <t> R.Diethelm </t>
  </si>
  <si>
    <t> BBS 103 </t>
  </si>
  <si>
    <t>2450686.692 </t>
  </si>
  <si>
    <t> 26.08.1997 04:36 </t>
  </si>
  <si>
    <t> 0.019 </t>
  </si>
  <si>
    <t> S.Cook </t>
  </si>
  <si>
    <t> JAAVSO 41;122 </t>
  </si>
  <si>
    <t>2451812.5523 </t>
  </si>
  <si>
    <t> 25.09.2000 01:15 </t>
  </si>
  <si>
    <t> 0.0167 </t>
  </si>
  <si>
    <t>B;V</t>
  </si>
  <si>
    <t> F.Agerer </t>
  </si>
  <si>
    <t>BAVM 152 </t>
  </si>
  <si>
    <t>2452860.5594 </t>
  </si>
  <si>
    <t> 09.08.2003 01:25 </t>
  </si>
  <si>
    <t> 0.0244 </t>
  </si>
  <si>
    <t> M.Zejda </t>
  </si>
  <si>
    <t>IBVS 5583 </t>
  </si>
  <si>
    <t>2453544.4962 </t>
  </si>
  <si>
    <t> 22.06.2005 23:54 </t>
  </si>
  <si>
    <t> 0.0259 </t>
  </si>
  <si>
    <t>C </t>
  </si>
  <si>
    <t>-I</t>
  </si>
  <si>
    <t>BAVM 178 </t>
  </si>
  <si>
    <t>2454789.2644 </t>
  </si>
  <si>
    <t> 18.11.2008 18:20 </t>
  </si>
  <si>
    <t>5072.5</t>
  </si>
  <si>
    <t> 0.0317 </t>
  </si>
  <si>
    <t>R</t>
  </si>
  <si>
    <t> H.Kucáková </t>
  </si>
  <si>
    <t>OEJV 0107 </t>
  </si>
  <si>
    <t>2455383.7636 </t>
  </si>
  <si>
    <t> 06.07.2010 06:19 </t>
  </si>
  <si>
    <t>5355</t>
  </si>
  <si>
    <t> 0.0332 </t>
  </si>
  <si>
    <t>IBVS 5960 </t>
  </si>
  <si>
    <t>2455436.3741 </t>
  </si>
  <si>
    <t> 27.08.2010 20:58 </t>
  </si>
  <si>
    <t>5380</t>
  </si>
  <si>
    <t> 0.0333 </t>
  </si>
  <si>
    <t> G.Marino </t>
  </si>
  <si>
    <t>IBVS 5997 </t>
  </si>
  <si>
    <t>2455819.37283 </t>
  </si>
  <si>
    <t> 14.09.2011 20:56 </t>
  </si>
  <si>
    <t>5562</t>
  </si>
  <si>
    <t> 0.02826 </t>
  </si>
  <si>
    <t> R.Uhlar </t>
  </si>
  <si>
    <t>IBVS 6007 </t>
  </si>
  <si>
    <t>2455839.36732 </t>
  </si>
  <si>
    <t> 04.10.2011 20:48 </t>
  </si>
  <si>
    <t>5571.5</t>
  </si>
  <si>
    <t> 0.03079 </t>
  </si>
  <si>
    <t>2456465.43188 </t>
  </si>
  <si>
    <t> 21.06.2013 22:21 </t>
  </si>
  <si>
    <t>5869</t>
  </si>
  <si>
    <t> 0.03144 </t>
  </si>
  <si>
    <t> M.Urbanik </t>
  </si>
  <si>
    <t>OEJV 0160 </t>
  </si>
  <si>
    <t>2456907.3638 </t>
  </si>
  <si>
    <t> 06.09.2014 20:43 </t>
  </si>
  <si>
    <t>6079</t>
  </si>
  <si>
    <t> 0.0359 </t>
  </si>
  <si>
    <t>BAVM 239 </t>
  </si>
  <si>
    <t>2456929.4570 </t>
  </si>
  <si>
    <t> 28.09.2014 22:58 </t>
  </si>
  <si>
    <t> 0.0327 </t>
  </si>
  <si>
    <t>BAD?</t>
  </si>
  <si>
    <t>OEJV 0179</t>
  </si>
  <si>
    <t>V0338 Cep / GSC 4262-0218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</si>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</sst>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5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3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3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/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4" fillId="24" borderId="18" xfId="0" applyFont="1" applyFill="1" applyBorder="1" applyAlignment="1">
      <alignment horizontal="left" vertical="top" wrapText="1" indent="1"/>
    </xf>
    <xf numFmtId="0" fontId="4" fillId="24" borderId="18" xfId="0" applyFont="1" applyFill="1" applyBorder="1" applyAlignment="1">
      <alignment horizontal="center" vertical="top" wrapText="1"/>
    </xf>
    <xf numFmtId="0" fontId="4" fillId="24" borderId="18" xfId="0" applyFont="1" applyFill="1" applyBorder="1" applyAlignment="1">
      <alignment horizontal="right" vertical="top" wrapText="1"/>
    </xf>
    <xf numFmtId="0" fontId="16" fillId="24" borderId="18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10" xfId="0" applyFont="1" applyBorder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left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/>
    <xf numFmtId="14" fontId="5" fillId="0" borderId="0" xfId="0" applyNumberFormat="1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42" applyFont="1" applyAlignment="1">
      <alignment wrapText="1"/>
    </xf>
    <xf numFmtId="0" fontId="4" fillId="0" borderId="0" xfId="42" applyFont="1" applyAlignment="1">
      <alignment horizontal="center" wrapText="1"/>
    </xf>
    <xf numFmtId="0" fontId="4" fillId="0" borderId="0" xfId="42" applyFont="1" applyAlignment="1">
      <alignment horizontal="left" wrapText="1"/>
    </xf>
    <xf numFmtId="0" fontId="4" fillId="0" borderId="0" xfId="43" applyFont="1"/>
    <xf numFmtId="0" fontId="4" fillId="0" borderId="0" xfId="43" applyFont="1" applyAlignment="1">
      <alignment horizontal="center"/>
    </xf>
    <xf numFmtId="0" fontId="4" fillId="0" borderId="0" xfId="43" applyFont="1" applyAlignment="1">
      <alignment horizontal="left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38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V0338 Cep - O-C Diagr.</a:t>
            </a:r>
          </a:p>
        </c:rich>
      </c:tx>
      <c:layout>
        <c:manualLayout>
          <c:xMode val="edge"/>
          <c:yMode val="edge"/>
          <c:x val="0.3569028871391075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4769252958613219"/>
          <c:w val="0.8030316232501171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-6898</c:v>
                </c:pt>
                <c:pt idx="1">
                  <c:v>-6697</c:v>
                </c:pt>
                <c:pt idx="2">
                  <c:v>-6426</c:v>
                </c:pt>
                <c:pt idx="3">
                  <c:v>-6265</c:v>
                </c:pt>
                <c:pt idx="4">
                  <c:v>-6218</c:v>
                </c:pt>
                <c:pt idx="5">
                  <c:v>-5700</c:v>
                </c:pt>
                <c:pt idx="6">
                  <c:v>-2177</c:v>
                </c:pt>
                <c:pt idx="7">
                  <c:v>-1753</c:v>
                </c:pt>
                <c:pt idx="8">
                  <c:v>-1744</c:v>
                </c:pt>
                <c:pt idx="9">
                  <c:v>-1446</c:v>
                </c:pt>
                <c:pt idx="10">
                  <c:v>-1418</c:v>
                </c:pt>
                <c:pt idx="11">
                  <c:v>-1409</c:v>
                </c:pt>
                <c:pt idx="12">
                  <c:v>-1408</c:v>
                </c:pt>
                <c:pt idx="13">
                  <c:v>0</c:v>
                </c:pt>
                <c:pt idx="14">
                  <c:v>1128</c:v>
                </c:pt>
                <c:pt idx="15">
                  <c:v>1261.5</c:v>
                </c:pt>
                <c:pt idx="16">
                  <c:v>2315</c:v>
                </c:pt>
                <c:pt idx="17">
                  <c:v>2315</c:v>
                </c:pt>
                <c:pt idx="18">
                  <c:v>3123</c:v>
                </c:pt>
                <c:pt idx="19">
                  <c:v>3658</c:v>
                </c:pt>
                <c:pt idx="20">
                  <c:v>4156</c:v>
                </c:pt>
                <c:pt idx="21">
                  <c:v>4481</c:v>
                </c:pt>
                <c:pt idx="22">
                  <c:v>5072.5</c:v>
                </c:pt>
                <c:pt idx="23">
                  <c:v>5355</c:v>
                </c:pt>
                <c:pt idx="24">
                  <c:v>5380</c:v>
                </c:pt>
                <c:pt idx="25">
                  <c:v>5562</c:v>
                </c:pt>
                <c:pt idx="26">
                  <c:v>5571.5</c:v>
                </c:pt>
                <c:pt idx="27">
                  <c:v>5869</c:v>
                </c:pt>
                <c:pt idx="28">
                  <c:v>6079</c:v>
                </c:pt>
                <c:pt idx="29">
                  <c:v>6089.5</c:v>
                </c:pt>
                <c:pt idx="30">
                  <c:v>6280</c:v>
                </c:pt>
                <c:pt idx="31">
                  <c:v>6405</c:v>
                </c:pt>
                <c:pt idx="32">
                  <c:v>6559</c:v>
                </c:pt>
                <c:pt idx="33">
                  <c:v>7487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-2.3982999999134336E-2</c:v>
                </c:pt>
                <c:pt idx="1">
                  <c:v>-2.269950000118115E-2</c:v>
                </c:pt>
                <c:pt idx="2">
                  <c:v>4.2899999971268699E-4</c:v>
                </c:pt>
                <c:pt idx="3">
                  <c:v>2.3372499999823049E-2</c:v>
                </c:pt>
                <c:pt idx="4">
                  <c:v>-1.2030000034428667E-3</c:v>
                </c:pt>
                <c:pt idx="5">
                  <c:v>3.4049999998387648E-2</c:v>
                </c:pt>
                <c:pt idx="6">
                  <c:v>2.720499993301928E-3</c:v>
                </c:pt>
                <c:pt idx="7">
                  <c:v>1.3124500001140404E-2</c:v>
                </c:pt>
                <c:pt idx="8">
                  <c:v>4.8375999998825137E-2</c:v>
                </c:pt>
                <c:pt idx="9">
                  <c:v>-3.3741000006557442E-2</c:v>
                </c:pt>
                <c:pt idx="10">
                  <c:v>-1.1403000004065689E-2</c:v>
                </c:pt>
                <c:pt idx="11">
                  <c:v>3.3848500002932269E-2</c:v>
                </c:pt>
                <c:pt idx="12">
                  <c:v>-3.5568000006605871E-2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AB-4236-82EC-F36933ED07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5.0000000000000001E-4</c:v>
                  </c:pt>
                  <c:pt idx="25">
                    <c:v>4.4999999999999999E-4</c:v>
                  </c:pt>
                  <c:pt idx="26">
                    <c:v>5.8E-4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8.0000000000000002E-3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5.0000000000000001E-4</c:v>
                  </c:pt>
                  <c:pt idx="25">
                    <c:v>4.4999999999999999E-4</c:v>
                  </c:pt>
                  <c:pt idx="26">
                    <c:v>5.8E-4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8.0000000000000002E-3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-6898</c:v>
                </c:pt>
                <c:pt idx="1">
                  <c:v>-6697</c:v>
                </c:pt>
                <c:pt idx="2">
                  <c:v>-6426</c:v>
                </c:pt>
                <c:pt idx="3">
                  <c:v>-6265</c:v>
                </c:pt>
                <c:pt idx="4">
                  <c:v>-6218</c:v>
                </c:pt>
                <c:pt idx="5">
                  <c:v>-5700</c:v>
                </c:pt>
                <c:pt idx="6">
                  <c:v>-2177</c:v>
                </c:pt>
                <c:pt idx="7">
                  <c:v>-1753</c:v>
                </c:pt>
                <c:pt idx="8">
                  <c:v>-1744</c:v>
                </c:pt>
                <c:pt idx="9">
                  <c:v>-1446</c:v>
                </c:pt>
                <c:pt idx="10">
                  <c:v>-1418</c:v>
                </c:pt>
                <c:pt idx="11">
                  <c:v>-1409</c:v>
                </c:pt>
                <c:pt idx="12">
                  <c:v>-1408</c:v>
                </c:pt>
                <c:pt idx="13">
                  <c:v>0</c:v>
                </c:pt>
                <c:pt idx="14">
                  <c:v>1128</c:v>
                </c:pt>
                <c:pt idx="15">
                  <c:v>1261.5</c:v>
                </c:pt>
                <c:pt idx="16">
                  <c:v>2315</c:v>
                </c:pt>
                <c:pt idx="17">
                  <c:v>2315</c:v>
                </c:pt>
                <c:pt idx="18">
                  <c:v>3123</c:v>
                </c:pt>
                <c:pt idx="19">
                  <c:v>3658</c:v>
                </c:pt>
                <c:pt idx="20">
                  <c:v>4156</c:v>
                </c:pt>
                <c:pt idx="21">
                  <c:v>4481</c:v>
                </c:pt>
                <c:pt idx="22">
                  <c:v>5072.5</c:v>
                </c:pt>
                <c:pt idx="23">
                  <c:v>5355</c:v>
                </c:pt>
                <c:pt idx="24">
                  <c:v>5380</c:v>
                </c:pt>
                <c:pt idx="25">
                  <c:v>5562</c:v>
                </c:pt>
                <c:pt idx="26">
                  <c:v>5571.5</c:v>
                </c:pt>
                <c:pt idx="27">
                  <c:v>5869</c:v>
                </c:pt>
                <c:pt idx="28">
                  <c:v>6079</c:v>
                </c:pt>
                <c:pt idx="29">
                  <c:v>6089.5</c:v>
                </c:pt>
                <c:pt idx="30">
                  <c:v>6280</c:v>
                </c:pt>
                <c:pt idx="31">
                  <c:v>6405</c:v>
                </c:pt>
                <c:pt idx="32">
                  <c:v>6559</c:v>
                </c:pt>
                <c:pt idx="33">
                  <c:v>7487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4">
                  <c:v>2.2187999995367136E-2</c:v>
                </c:pt>
                <c:pt idx="15">
                  <c:v>1.1585250002099201E-2</c:v>
                </c:pt>
                <c:pt idx="16">
                  <c:v>3.8024999957997352E-3</c:v>
                </c:pt>
                <c:pt idx="18">
                  <c:v>1.9270500000857282E-2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AB-4236-82EC-F36933ED07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-6898</c:v>
                </c:pt>
                <c:pt idx="1">
                  <c:v>-6697</c:v>
                </c:pt>
                <c:pt idx="2">
                  <c:v>-6426</c:v>
                </c:pt>
                <c:pt idx="3">
                  <c:v>-6265</c:v>
                </c:pt>
                <c:pt idx="4">
                  <c:v>-6218</c:v>
                </c:pt>
                <c:pt idx="5">
                  <c:v>-5700</c:v>
                </c:pt>
                <c:pt idx="6">
                  <c:v>-2177</c:v>
                </c:pt>
                <c:pt idx="7">
                  <c:v>-1753</c:v>
                </c:pt>
                <c:pt idx="8">
                  <c:v>-1744</c:v>
                </c:pt>
                <c:pt idx="9">
                  <c:v>-1446</c:v>
                </c:pt>
                <c:pt idx="10">
                  <c:v>-1418</c:v>
                </c:pt>
                <c:pt idx="11">
                  <c:v>-1409</c:v>
                </c:pt>
                <c:pt idx="12">
                  <c:v>-1408</c:v>
                </c:pt>
                <c:pt idx="13">
                  <c:v>0</c:v>
                </c:pt>
                <c:pt idx="14">
                  <c:v>1128</c:v>
                </c:pt>
                <c:pt idx="15">
                  <c:v>1261.5</c:v>
                </c:pt>
                <c:pt idx="16">
                  <c:v>2315</c:v>
                </c:pt>
                <c:pt idx="17">
                  <c:v>2315</c:v>
                </c:pt>
                <c:pt idx="18">
                  <c:v>3123</c:v>
                </c:pt>
                <c:pt idx="19">
                  <c:v>3658</c:v>
                </c:pt>
                <c:pt idx="20">
                  <c:v>4156</c:v>
                </c:pt>
                <c:pt idx="21">
                  <c:v>4481</c:v>
                </c:pt>
                <c:pt idx="22">
                  <c:v>5072.5</c:v>
                </c:pt>
                <c:pt idx="23">
                  <c:v>5355</c:v>
                </c:pt>
                <c:pt idx="24">
                  <c:v>5380</c:v>
                </c:pt>
                <c:pt idx="25">
                  <c:v>5562</c:v>
                </c:pt>
                <c:pt idx="26">
                  <c:v>5571.5</c:v>
                </c:pt>
                <c:pt idx="27">
                  <c:v>5869</c:v>
                </c:pt>
                <c:pt idx="28">
                  <c:v>6079</c:v>
                </c:pt>
                <c:pt idx="29">
                  <c:v>6089.5</c:v>
                </c:pt>
                <c:pt idx="30">
                  <c:v>6280</c:v>
                </c:pt>
                <c:pt idx="31">
                  <c:v>6405</c:v>
                </c:pt>
                <c:pt idx="32">
                  <c:v>6559</c:v>
                </c:pt>
                <c:pt idx="33">
                  <c:v>7487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7">
                  <c:v>4.7025000021676533E-3</c:v>
                </c:pt>
                <c:pt idx="19">
                  <c:v>1.6743000000133179E-2</c:v>
                </c:pt>
                <c:pt idx="21">
                  <c:v>2.5863499999104533E-2</c:v>
                </c:pt>
                <c:pt idx="28">
                  <c:v>3.5896499997761566E-2</c:v>
                </c:pt>
                <c:pt idx="29">
                  <c:v>3.2723249998525716E-2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AB-4236-82EC-F36933ED07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5.0000000000000001E-4</c:v>
                  </c:pt>
                  <c:pt idx="25">
                    <c:v>4.4999999999999999E-4</c:v>
                  </c:pt>
                  <c:pt idx="26">
                    <c:v>5.8E-4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8.0000000000000002E-3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5.0000000000000001E-4</c:v>
                  </c:pt>
                  <c:pt idx="25">
                    <c:v>4.4999999999999999E-4</c:v>
                  </c:pt>
                  <c:pt idx="26">
                    <c:v>5.8E-4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8.0000000000000002E-3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-6898</c:v>
                </c:pt>
                <c:pt idx="1">
                  <c:v>-6697</c:v>
                </c:pt>
                <c:pt idx="2">
                  <c:v>-6426</c:v>
                </c:pt>
                <c:pt idx="3">
                  <c:v>-6265</c:v>
                </c:pt>
                <c:pt idx="4">
                  <c:v>-6218</c:v>
                </c:pt>
                <c:pt idx="5">
                  <c:v>-5700</c:v>
                </c:pt>
                <c:pt idx="6">
                  <c:v>-2177</c:v>
                </c:pt>
                <c:pt idx="7">
                  <c:v>-1753</c:v>
                </c:pt>
                <c:pt idx="8">
                  <c:v>-1744</c:v>
                </c:pt>
                <c:pt idx="9">
                  <c:v>-1446</c:v>
                </c:pt>
                <c:pt idx="10">
                  <c:v>-1418</c:v>
                </c:pt>
                <c:pt idx="11">
                  <c:v>-1409</c:v>
                </c:pt>
                <c:pt idx="12">
                  <c:v>-1408</c:v>
                </c:pt>
                <c:pt idx="13">
                  <c:v>0</c:v>
                </c:pt>
                <c:pt idx="14">
                  <c:v>1128</c:v>
                </c:pt>
                <c:pt idx="15">
                  <c:v>1261.5</c:v>
                </c:pt>
                <c:pt idx="16">
                  <c:v>2315</c:v>
                </c:pt>
                <c:pt idx="17">
                  <c:v>2315</c:v>
                </c:pt>
                <c:pt idx="18">
                  <c:v>3123</c:v>
                </c:pt>
                <c:pt idx="19">
                  <c:v>3658</c:v>
                </c:pt>
                <c:pt idx="20">
                  <c:v>4156</c:v>
                </c:pt>
                <c:pt idx="21">
                  <c:v>4481</c:v>
                </c:pt>
                <c:pt idx="22">
                  <c:v>5072.5</c:v>
                </c:pt>
                <c:pt idx="23">
                  <c:v>5355</c:v>
                </c:pt>
                <c:pt idx="24">
                  <c:v>5380</c:v>
                </c:pt>
                <c:pt idx="25">
                  <c:v>5562</c:v>
                </c:pt>
                <c:pt idx="26">
                  <c:v>5571.5</c:v>
                </c:pt>
                <c:pt idx="27">
                  <c:v>5869</c:v>
                </c:pt>
                <c:pt idx="28">
                  <c:v>6079</c:v>
                </c:pt>
                <c:pt idx="29">
                  <c:v>6089.5</c:v>
                </c:pt>
                <c:pt idx="30">
                  <c:v>6280</c:v>
                </c:pt>
                <c:pt idx="31">
                  <c:v>6405</c:v>
                </c:pt>
                <c:pt idx="32">
                  <c:v>6559</c:v>
                </c:pt>
                <c:pt idx="33">
                  <c:v>7487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0">
                  <c:v>2.4425999996310566E-2</c:v>
                </c:pt>
                <c:pt idx="22">
                  <c:v>3.178374999697553E-2</c:v>
                </c:pt>
                <c:pt idx="23">
                  <c:v>3.3242499994230457E-2</c:v>
                </c:pt>
                <c:pt idx="24">
                  <c:v>3.3329999998386484E-2</c:v>
                </c:pt>
                <c:pt idx="25">
                  <c:v>2.8256999998120591E-2</c:v>
                </c:pt>
                <c:pt idx="26">
                  <c:v>3.0790249998972286E-2</c:v>
                </c:pt>
                <c:pt idx="27">
                  <c:v>3.1441499995708E-2</c:v>
                </c:pt>
                <c:pt idx="30">
                  <c:v>3.2579999999143183E-2</c:v>
                </c:pt>
                <c:pt idx="31">
                  <c:v>3.3247500003199093E-2</c:v>
                </c:pt>
                <c:pt idx="32">
                  <c:v>3.2576500001596287E-2</c:v>
                </c:pt>
                <c:pt idx="33">
                  <c:v>4.0964500003610738E-2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AB-4236-82EC-F36933ED07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5.0000000000000001E-4</c:v>
                  </c:pt>
                  <c:pt idx="25">
                    <c:v>4.4999999999999999E-4</c:v>
                  </c:pt>
                  <c:pt idx="26">
                    <c:v>5.8E-4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8.0000000000000002E-3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5.0000000000000001E-4</c:v>
                  </c:pt>
                  <c:pt idx="25">
                    <c:v>4.4999999999999999E-4</c:v>
                  </c:pt>
                  <c:pt idx="26">
                    <c:v>5.8E-4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8.0000000000000002E-3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-6898</c:v>
                </c:pt>
                <c:pt idx="1">
                  <c:v>-6697</c:v>
                </c:pt>
                <c:pt idx="2">
                  <c:v>-6426</c:v>
                </c:pt>
                <c:pt idx="3">
                  <c:v>-6265</c:v>
                </c:pt>
                <c:pt idx="4">
                  <c:v>-6218</c:v>
                </c:pt>
                <c:pt idx="5">
                  <c:v>-5700</c:v>
                </c:pt>
                <c:pt idx="6">
                  <c:v>-2177</c:v>
                </c:pt>
                <c:pt idx="7">
                  <c:v>-1753</c:v>
                </c:pt>
                <c:pt idx="8">
                  <c:v>-1744</c:v>
                </c:pt>
                <c:pt idx="9">
                  <c:v>-1446</c:v>
                </c:pt>
                <c:pt idx="10">
                  <c:v>-1418</c:v>
                </c:pt>
                <c:pt idx="11">
                  <c:v>-1409</c:v>
                </c:pt>
                <c:pt idx="12">
                  <c:v>-1408</c:v>
                </c:pt>
                <c:pt idx="13">
                  <c:v>0</c:v>
                </c:pt>
                <c:pt idx="14">
                  <c:v>1128</c:v>
                </c:pt>
                <c:pt idx="15">
                  <c:v>1261.5</c:v>
                </c:pt>
                <c:pt idx="16">
                  <c:v>2315</c:v>
                </c:pt>
                <c:pt idx="17">
                  <c:v>2315</c:v>
                </c:pt>
                <c:pt idx="18">
                  <c:v>3123</c:v>
                </c:pt>
                <c:pt idx="19">
                  <c:v>3658</c:v>
                </c:pt>
                <c:pt idx="20">
                  <c:v>4156</c:v>
                </c:pt>
                <c:pt idx="21">
                  <c:v>4481</c:v>
                </c:pt>
                <c:pt idx="22">
                  <c:v>5072.5</c:v>
                </c:pt>
                <c:pt idx="23">
                  <c:v>5355</c:v>
                </c:pt>
                <c:pt idx="24">
                  <c:v>5380</c:v>
                </c:pt>
                <c:pt idx="25">
                  <c:v>5562</c:v>
                </c:pt>
                <c:pt idx="26">
                  <c:v>5571.5</c:v>
                </c:pt>
                <c:pt idx="27">
                  <c:v>5869</c:v>
                </c:pt>
                <c:pt idx="28">
                  <c:v>6079</c:v>
                </c:pt>
                <c:pt idx="29">
                  <c:v>6089.5</c:v>
                </c:pt>
                <c:pt idx="30">
                  <c:v>6280</c:v>
                </c:pt>
                <c:pt idx="31">
                  <c:v>6405</c:v>
                </c:pt>
                <c:pt idx="32">
                  <c:v>6559</c:v>
                </c:pt>
                <c:pt idx="33">
                  <c:v>7487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AB-4236-82EC-F36933ED07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5.0000000000000001E-4</c:v>
                  </c:pt>
                  <c:pt idx="25">
                    <c:v>4.4999999999999999E-4</c:v>
                  </c:pt>
                  <c:pt idx="26">
                    <c:v>5.8E-4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8.0000000000000002E-3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5.0000000000000001E-4</c:v>
                  </c:pt>
                  <c:pt idx="25">
                    <c:v>4.4999999999999999E-4</c:v>
                  </c:pt>
                  <c:pt idx="26">
                    <c:v>5.8E-4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8.0000000000000002E-3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-6898</c:v>
                </c:pt>
                <c:pt idx="1">
                  <c:v>-6697</c:v>
                </c:pt>
                <c:pt idx="2">
                  <c:v>-6426</c:v>
                </c:pt>
                <c:pt idx="3">
                  <c:v>-6265</c:v>
                </c:pt>
                <c:pt idx="4">
                  <c:v>-6218</c:v>
                </c:pt>
                <c:pt idx="5">
                  <c:v>-5700</c:v>
                </c:pt>
                <c:pt idx="6">
                  <c:v>-2177</c:v>
                </c:pt>
                <c:pt idx="7">
                  <c:v>-1753</c:v>
                </c:pt>
                <c:pt idx="8">
                  <c:v>-1744</c:v>
                </c:pt>
                <c:pt idx="9">
                  <c:v>-1446</c:v>
                </c:pt>
                <c:pt idx="10">
                  <c:v>-1418</c:v>
                </c:pt>
                <c:pt idx="11">
                  <c:v>-1409</c:v>
                </c:pt>
                <c:pt idx="12">
                  <c:v>-1408</c:v>
                </c:pt>
                <c:pt idx="13">
                  <c:v>0</c:v>
                </c:pt>
                <c:pt idx="14">
                  <c:v>1128</c:v>
                </c:pt>
                <c:pt idx="15">
                  <c:v>1261.5</c:v>
                </c:pt>
                <c:pt idx="16">
                  <c:v>2315</c:v>
                </c:pt>
                <c:pt idx="17">
                  <c:v>2315</c:v>
                </c:pt>
                <c:pt idx="18">
                  <c:v>3123</c:v>
                </c:pt>
                <c:pt idx="19">
                  <c:v>3658</c:v>
                </c:pt>
                <c:pt idx="20">
                  <c:v>4156</c:v>
                </c:pt>
                <c:pt idx="21">
                  <c:v>4481</c:v>
                </c:pt>
                <c:pt idx="22">
                  <c:v>5072.5</c:v>
                </c:pt>
                <c:pt idx="23">
                  <c:v>5355</c:v>
                </c:pt>
                <c:pt idx="24">
                  <c:v>5380</c:v>
                </c:pt>
                <c:pt idx="25">
                  <c:v>5562</c:v>
                </c:pt>
                <c:pt idx="26">
                  <c:v>5571.5</c:v>
                </c:pt>
                <c:pt idx="27">
                  <c:v>5869</c:v>
                </c:pt>
                <c:pt idx="28">
                  <c:v>6079</c:v>
                </c:pt>
                <c:pt idx="29">
                  <c:v>6089.5</c:v>
                </c:pt>
                <c:pt idx="30">
                  <c:v>6280</c:v>
                </c:pt>
                <c:pt idx="31">
                  <c:v>6405</c:v>
                </c:pt>
                <c:pt idx="32">
                  <c:v>6559</c:v>
                </c:pt>
                <c:pt idx="33">
                  <c:v>7487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AB-4236-82EC-F36933ED07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5.0000000000000001E-4</c:v>
                  </c:pt>
                  <c:pt idx="25">
                    <c:v>4.4999999999999999E-4</c:v>
                  </c:pt>
                  <c:pt idx="26">
                    <c:v>5.8E-4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8.0000000000000002E-3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5.0000000000000001E-4</c:v>
                  </c:pt>
                  <c:pt idx="25">
                    <c:v>4.4999999999999999E-4</c:v>
                  </c:pt>
                  <c:pt idx="26">
                    <c:v>5.8E-4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8.0000000000000002E-3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-6898</c:v>
                </c:pt>
                <c:pt idx="1">
                  <c:v>-6697</c:v>
                </c:pt>
                <c:pt idx="2">
                  <c:v>-6426</c:v>
                </c:pt>
                <c:pt idx="3">
                  <c:v>-6265</c:v>
                </c:pt>
                <c:pt idx="4">
                  <c:v>-6218</c:v>
                </c:pt>
                <c:pt idx="5">
                  <c:v>-5700</c:v>
                </c:pt>
                <c:pt idx="6">
                  <c:v>-2177</c:v>
                </c:pt>
                <c:pt idx="7">
                  <c:v>-1753</c:v>
                </c:pt>
                <c:pt idx="8">
                  <c:v>-1744</c:v>
                </c:pt>
                <c:pt idx="9">
                  <c:v>-1446</c:v>
                </c:pt>
                <c:pt idx="10">
                  <c:v>-1418</c:v>
                </c:pt>
                <c:pt idx="11">
                  <c:v>-1409</c:v>
                </c:pt>
                <c:pt idx="12">
                  <c:v>-1408</c:v>
                </c:pt>
                <c:pt idx="13">
                  <c:v>0</c:v>
                </c:pt>
                <c:pt idx="14">
                  <c:v>1128</c:v>
                </c:pt>
                <c:pt idx="15">
                  <c:v>1261.5</c:v>
                </c:pt>
                <c:pt idx="16">
                  <c:v>2315</c:v>
                </c:pt>
                <c:pt idx="17">
                  <c:v>2315</c:v>
                </c:pt>
                <c:pt idx="18">
                  <c:v>3123</c:v>
                </c:pt>
                <c:pt idx="19">
                  <c:v>3658</c:v>
                </c:pt>
                <c:pt idx="20">
                  <c:v>4156</c:v>
                </c:pt>
                <c:pt idx="21">
                  <c:v>4481</c:v>
                </c:pt>
                <c:pt idx="22">
                  <c:v>5072.5</c:v>
                </c:pt>
                <c:pt idx="23">
                  <c:v>5355</c:v>
                </c:pt>
                <c:pt idx="24">
                  <c:v>5380</c:v>
                </c:pt>
                <c:pt idx="25">
                  <c:v>5562</c:v>
                </c:pt>
                <c:pt idx="26">
                  <c:v>5571.5</c:v>
                </c:pt>
                <c:pt idx="27">
                  <c:v>5869</c:v>
                </c:pt>
                <c:pt idx="28">
                  <c:v>6079</c:v>
                </c:pt>
                <c:pt idx="29">
                  <c:v>6089.5</c:v>
                </c:pt>
                <c:pt idx="30">
                  <c:v>6280</c:v>
                </c:pt>
                <c:pt idx="31">
                  <c:v>6405</c:v>
                </c:pt>
                <c:pt idx="32">
                  <c:v>6559</c:v>
                </c:pt>
                <c:pt idx="33">
                  <c:v>7487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AB-4236-82EC-F36933ED07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-6898</c:v>
                </c:pt>
                <c:pt idx="1">
                  <c:v>-6697</c:v>
                </c:pt>
                <c:pt idx="2">
                  <c:v>-6426</c:v>
                </c:pt>
                <c:pt idx="3">
                  <c:v>-6265</c:v>
                </c:pt>
                <c:pt idx="4">
                  <c:v>-6218</c:v>
                </c:pt>
                <c:pt idx="5">
                  <c:v>-5700</c:v>
                </c:pt>
                <c:pt idx="6">
                  <c:v>-2177</c:v>
                </c:pt>
                <c:pt idx="7">
                  <c:v>-1753</c:v>
                </c:pt>
                <c:pt idx="8">
                  <c:v>-1744</c:v>
                </c:pt>
                <c:pt idx="9">
                  <c:v>-1446</c:v>
                </c:pt>
                <c:pt idx="10">
                  <c:v>-1418</c:v>
                </c:pt>
                <c:pt idx="11">
                  <c:v>-1409</c:v>
                </c:pt>
                <c:pt idx="12">
                  <c:v>-1408</c:v>
                </c:pt>
                <c:pt idx="13">
                  <c:v>0</c:v>
                </c:pt>
                <c:pt idx="14">
                  <c:v>1128</c:v>
                </c:pt>
                <c:pt idx="15">
                  <c:v>1261.5</c:v>
                </c:pt>
                <c:pt idx="16">
                  <c:v>2315</c:v>
                </c:pt>
                <c:pt idx="17">
                  <c:v>2315</c:v>
                </c:pt>
                <c:pt idx="18">
                  <c:v>3123</c:v>
                </c:pt>
                <c:pt idx="19">
                  <c:v>3658</c:v>
                </c:pt>
                <c:pt idx="20">
                  <c:v>4156</c:v>
                </c:pt>
                <c:pt idx="21">
                  <c:v>4481</c:v>
                </c:pt>
                <c:pt idx="22">
                  <c:v>5072.5</c:v>
                </c:pt>
                <c:pt idx="23">
                  <c:v>5355</c:v>
                </c:pt>
                <c:pt idx="24">
                  <c:v>5380</c:v>
                </c:pt>
                <c:pt idx="25">
                  <c:v>5562</c:v>
                </c:pt>
                <c:pt idx="26">
                  <c:v>5571.5</c:v>
                </c:pt>
                <c:pt idx="27">
                  <c:v>5869</c:v>
                </c:pt>
                <c:pt idx="28">
                  <c:v>6079</c:v>
                </c:pt>
                <c:pt idx="29">
                  <c:v>6089.5</c:v>
                </c:pt>
                <c:pt idx="30">
                  <c:v>6280</c:v>
                </c:pt>
                <c:pt idx="31">
                  <c:v>6405</c:v>
                </c:pt>
                <c:pt idx="32">
                  <c:v>6559</c:v>
                </c:pt>
                <c:pt idx="33">
                  <c:v>7487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-3.0111218064246454E-2</c:v>
                </c:pt>
                <c:pt idx="1">
                  <c:v>-2.9134705459655196E-2</c:v>
                </c:pt>
                <c:pt idx="2">
                  <c:v>-2.7818113838539622E-2</c:v>
                </c:pt>
                <c:pt idx="3">
                  <c:v>-2.7035932100533691E-2</c:v>
                </c:pt>
                <c:pt idx="4">
                  <c:v>-2.6807593332295935E-2</c:v>
                </c:pt>
                <c:pt idx="5">
                  <c:v>-2.4291008610015982E-2</c:v>
                </c:pt>
                <c:pt idx="6">
                  <c:v>-7.1753175355135212E-3</c:v>
                </c:pt>
                <c:pt idx="7">
                  <c:v>-5.1154103497090802E-3</c:v>
                </c:pt>
                <c:pt idx="8">
                  <c:v>-5.0716859047273827E-3</c:v>
                </c:pt>
                <c:pt idx="9">
                  <c:v>-3.6239209486667139E-3</c:v>
                </c:pt>
                <c:pt idx="10">
                  <c:v>-3.487889342056987E-3</c:v>
                </c:pt>
                <c:pt idx="11">
                  <c:v>-3.4441648970752886E-3</c:v>
                </c:pt>
                <c:pt idx="12">
                  <c:v>-3.4393066254106552E-3</c:v>
                </c:pt>
                <c:pt idx="13">
                  <c:v>3.4011398783927692E-3</c:v>
                </c:pt>
                <c:pt idx="14">
                  <c:v>8.8812703160989215E-3</c:v>
                </c:pt>
                <c:pt idx="15">
                  <c:v>9.5298495833274419E-3</c:v>
                </c:pt>
                <c:pt idx="16">
                  <c:v>1.4648038782018428E-2</c:v>
                </c:pt>
                <c:pt idx="17">
                  <c:v>1.4648038782018428E-2</c:v>
                </c:pt>
                <c:pt idx="18">
                  <c:v>1.8573522287041982E-2</c:v>
                </c:pt>
                <c:pt idx="19">
                  <c:v>2.1172697627620699E-2</c:v>
                </c:pt>
                <c:pt idx="20">
                  <c:v>2.3592116916607991E-2</c:v>
                </c:pt>
                <c:pt idx="21">
                  <c:v>2.5171055207613754E-2</c:v>
                </c:pt>
                <c:pt idx="22">
                  <c:v>2.8044722897244242E-2</c:v>
                </c:pt>
                <c:pt idx="23">
                  <c:v>2.9417184642503095E-2</c:v>
                </c:pt>
                <c:pt idx="24">
                  <c:v>2.9538641434118922E-2</c:v>
                </c:pt>
                <c:pt idx="25">
                  <c:v>3.042284687708215E-2</c:v>
                </c:pt>
                <c:pt idx="26">
                  <c:v>3.0469000457896165E-2</c:v>
                </c:pt>
                <c:pt idx="27">
                  <c:v>3.1914336278124518E-2</c:v>
                </c:pt>
                <c:pt idx="28">
                  <c:v>3.2934573327697475E-2</c:v>
                </c:pt>
                <c:pt idx="29">
                  <c:v>3.2985585180176122E-2</c:v>
                </c:pt>
                <c:pt idx="30">
                  <c:v>3.3911085932288726E-2</c:v>
                </c:pt>
                <c:pt idx="31">
                  <c:v>3.451836989036787E-2</c:v>
                </c:pt>
                <c:pt idx="32">
                  <c:v>3.5266543726721361E-2</c:v>
                </c:pt>
                <c:pt idx="33">
                  <c:v>3.9775019831500891E-2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AB-4236-82EC-F36933ED076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Active!$F$21:$F$299</c:f>
              <c:numCache>
                <c:formatCode>General</c:formatCode>
                <c:ptCount val="279"/>
                <c:pt idx="0">
                  <c:v>-6898</c:v>
                </c:pt>
                <c:pt idx="1">
                  <c:v>-6697</c:v>
                </c:pt>
                <c:pt idx="2">
                  <c:v>-6426</c:v>
                </c:pt>
                <c:pt idx="3">
                  <c:v>-6265</c:v>
                </c:pt>
                <c:pt idx="4">
                  <c:v>-6218</c:v>
                </c:pt>
                <c:pt idx="5">
                  <c:v>-5700</c:v>
                </c:pt>
                <c:pt idx="6">
                  <c:v>-2177</c:v>
                </c:pt>
                <c:pt idx="7">
                  <c:v>-1753</c:v>
                </c:pt>
                <c:pt idx="8">
                  <c:v>-1744</c:v>
                </c:pt>
                <c:pt idx="9">
                  <c:v>-1446</c:v>
                </c:pt>
                <c:pt idx="10">
                  <c:v>-1418</c:v>
                </c:pt>
                <c:pt idx="11">
                  <c:v>-1409</c:v>
                </c:pt>
                <c:pt idx="12">
                  <c:v>-1408</c:v>
                </c:pt>
                <c:pt idx="13">
                  <c:v>0</c:v>
                </c:pt>
                <c:pt idx="14">
                  <c:v>1128</c:v>
                </c:pt>
                <c:pt idx="15">
                  <c:v>1261.5</c:v>
                </c:pt>
                <c:pt idx="16">
                  <c:v>2315</c:v>
                </c:pt>
                <c:pt idx="17">
                  <c:v>2315</c:v>
                </c:pt>
                <c:pt idx="18">
                  <c:v>3123</c:v>
                </c:pt>
                <c:pt idx="19">
                  <c:v>3658</c:v>
                </c:pt>
                <c:pt idx="20">
                  <c:v>4156</c:v>
                </c:pt>
                <c:pt idx="21">
                  <c:v>4481</c:v>
                </c:pt>
                <c:pt idx="22">
                  <c:v>5072.5</c:v>
                </c:pt>
                <c:pt idx="23">
                  <c:v>5355</c:v>
                </c:pt>
                <c:pt idx="24">
                  <c:v>5380</c:v>
                </c:pt>
                <c:pt idx="25">
                  <c:v>5562</c:v>
                </c:pt>
                <c:pt idx="26">
                  <c:v>5571.5</c:v>
                </c:pt>
                <c:pt idx="27">
                  <c:v>5869</c:v>
                </c:pt>
                <c:pt idx="28">
                  <c:v>6079</c:v>
                </c:pt>
                <c:pt idx="29">
                  <c:v>6089.5</c:v>
                </c:pt>
                <c:pt idx="30">
                  <c:v>6280</c:v>
                </c:pt>
                <c:pt idx="31">
                  <c:v>6405</c:v>
                </c:pt>
                <c:pt idx="32">
                  <c:v>6559</c:v>
                </c:pt>
                <c:pt idx="33">
                  <c:v>7487</c:v>
                </c:pt>
              </c:numCache>
            </c:numRef>
          </c:xVal>
          <c:yVal>
            <c:numRef>
              <c:f>Active!$U$21:$U$299</c:f>
              <c:numCache>
                <c:formatCode>General</c:formatCode>
                <c:ptCount val="2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AB-4236-82EC-F36933ED0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965504"/>
        <c:axId val="1"/>
      </c:scatterChart>
      <c:valAx>
        <c:axId val="622965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4089804431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965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8318265772334"/>
          <c:y val="0.92000129214617399"/>
          <c:w val="0.8097657237289782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123825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311BFE6-9A5B-E902-AD61-F0A9422A6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066" TargetMode="External"/><Relationship Id="rId13" Type="http://schemas.openxmlformats.org/officeDocument/2006/relationships/hyperlink" Target="http://www.konkoly.hu/cgi-bin/IBVS?1066" TargetMode="External"/><Relationship Id="rId18" Type="http://schemas.openxmlformats.org/officeDocument/2006/relationships/hyperlink" Target="http://var.astro.cz/oejv/issues/oejv0107.pdf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://www.konkoly.hu/cgi-bin/IBVS?1066" TargetMode="External"/><Relationship Id="rId21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www.konkoly.hu/cgi-bin/IBVS?1066" TargetMode="External"/><Relationship Id="rId12" Type="http://schemas.openxmlformats.org/officeDocument/2006/relationships/hyperlink" Target="http://www.konkoly.hu/cgi-bin/IBVS?1066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1066" TargetMode="External"/><Relationship Id="rId16" Type="http://schemas.openxmlformats.org/officeDocument/2006/relationships/hyperlink" Target="http://www.konkoly.hu/cgi-bin/IBVS?5583" TargetMode="External"/><Relationship Id="rId20" Type="http://schemas.openxmlformats.org/officeDocument/2006/relationships/hyperlink" Target="http://www.konkoly.hu/cgi-bin/IBVS?5997" TargetMode="External"/><Relationship Id="rId1" Type="http://schemas.openxmlformats.org/officeDocument/2006/relationships/hyperlink" Target="http://www.konkoly.hu/cgi-bin/IBVS?1066" TargetMode="External"/><Relationship Id="rId6" Type="http://schemas.openxmlformats.org/officeDocument/2006/relationships/hyperlink" Target="http://www.konkoly.hu/cgi-bin/IBVS?1066" TargetMode="External"/><Relationship Id="rId11" Type="http://schemas.openxmlformats.org/officeDocument/2006/relationships/hyperlink" Target="http://www.konkoly.hu/cgi-bin/IBVS?1066" TargetMode="External"/><Relationship Id="rId24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1066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1066" TargetMode="External"/><Relationship Id="rId19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www.konkoly.hu/cgi-bin/IBVS?1066" TargetMode="External"/><Relationship Id="rId9" Type="http://schemas.openxmlformats.org/officeDocument/2006/relationships/hyperlink" Target="http://www.konkoly.hu/cgi-bin/IBVS?1066" TargetMode="External"/><Relationship Id="rId14" Type="http://schemas.openxmlformats.org/officeDocument/2006/relationships/hyperlink" Target="http://www.bav-astro.de/sfs/BAVM_link.php?BAVMnr=50" TargetMode="External"/><Relationship Id="rId22" Type="http://schemas.openxmlformats.org/officeDocument/2006/relationships/hyperlink" Target="http://www.konkoly.hu/cgi-bin/IBVS?6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6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72" t="s">
        <v>197</v>
      </c>
    </row>
    <row r="2" spans="1:6">
      <c r="A2" t="s">
        <v>27</v>
      </c>
      <c r="B2" s="9" t="s">
        <v>39</v>
      </c>
    </row>
    <row r="4" spans="1:6" ht="14.25" thickTop="1" thickBot="1">
      <c r="A4" s="6" t="s">
        <v>3</v>
      </c>
      <c r="C4" s="2">
        <v>44114.58</v>
      </c>
      <c r="D4" s="3">
        <v>2.1044165000000001</v>
      </c>
    </row>
    <row r="5" spans="1:6" ht="13.5" thickTop="1">
      <c r="A5" s="10" t="s">
        <v>40</v>
      </c>
      <c r="B5" s="11"/>
      <c r="C5" s="12">
        <v>-9.5</v>
      </c>
      <c r="D5" s="11" t="s">
        <v>41</v>
      </c>
    </row>
    <row r="6" spans="1:6">
      <c r="A6" s="6" t="s">
        <v>4</v>
      </c>
    </row>
    <row r="7" spans="1:6">
      <c r="A7" t="s">
        <v>5</v>
      </c>
      <c r="C7">
        <v>44114.58</v>
      </c>
    </row>
    <row r="8" spans="1:6">
      <c r="A8" t="s">
        <v>6</v>
      </c>
      <c r="C8">
        <v>2.1044165000000001</v>
      </c>
    </row>
    <row r="9" spans="1:6">
      <c r="A9" s="25" t="s">
        <v>45</v>
      </c>
      <c r="B9" s="26">
        <v>34</v>
      </c>
      <c r="C9" s="14" t="str">
        <f>"F"&amp;B9</f>
        <v>F34</v>
      </c>
      <c r="D9" s="15" t="str">
        <f>"G"&amp;B9</f>
        <v>G34</v>
      </c>
    </row>
    <row r="10" spans="1:6" ht="13.5" thickBot="1">
      <c r="A10" s="11"/>
      <c r="B10" s="11"/>
      <c r="C10" s="5" t="s">
        <v>23</v>
      </c>
      <c r="D10" s="5" t="s">
        <v>24</v>
      </c>
      <c r="E10" s="11"/>
    </row>
    <row r="11" spans="1:6">
      <c r="A11" s="11" t="s">
        <v>19</v>
      </c>
      <c r="B11" s="11"/>
      <c r="C11" s="13">
        <f ca="1">INTERCEPT(INDIRECT($D$9):G991,INDIRECT($C$9):F991)</f>
        <v>3.4011398783927692E-3</v>
      </c>
      <c r="D11" s="4"/>
      <c r="E11" s="11"/>
    </row>
    <row r="12" spans="1:6">
      <c r="A12" s="11" t="s">
        <v>20</v>
      </c>
      <c r="B12" s="11"/>
      <c r="C12" s="13">
        <f ca="1">SLOPE(INDIRECT($D$9):G991,INDIRECT($C$9):F991)</f>
        <v>4.8582716646331142E-6</v>
      </c>
      <c r="D12" s="4"/>
      <c r="E12" s="11"/>
    </row>
    <row r="13" spans="1:6">
      <c r="A13" s="11" t="s">
        <v>22</v>
      </c>
      <c r="B13" s="11"/>
      <c r="C13" s="4" t="s">
        <v>17</v>
      </c>
    </row>
    <row r="14" spans="1:6">
      <c r="A14" s="11"/>
      <c r="B14" s="11"/>
      <c r="C14" s="11"/>
    </row>
    <row r="15" spans="1:6">
      <c r="A15" s="16" t="s">
        <v>21</v>
      </c>
      <c r="B15" s="11"/>
      <c r="C15" s="17">
        <f ca="1">(C7+C11)+(C8+C12)*INT(MAX(F21:F3532))</f>
        <v>59870.38611051983</v>
      </c>
      <c r="E15" s="18" t="s">
        <v>49</v>
      </c>
      <c r="F15" s="12">
        <v>1</v>
      </c>
    </row>
    <row r="16" spans="1:6">
      <c r="A16" s="20" t="s">
        <v>7</v>
      </c>
      <c r="B16" s="11"/>
      <c r="C16" s="21">
        <f ca="1">+C8+C12</f>
        <v>2.1044213582716647</v>
      </c>
      <c r="E16" s="18" t="s">
        <v>42</v>
      </c>
      <c r="F16" s="19">
        <f ca="1">NOW()+15018.5+$C$5/24</f>
        <v>60163.491632407407</v>
      </c>
    </row>
    <row r="17" spans="1:21" ht="13.5" thickBot="1">
      <c r="A17" s="18" t="s">
        <v>37</v>
      </c>
      <c r="B17" s="11"/>
      <c r="C17" s="11">
        <f>COUNT(C21:C2190)</f>
        <v>34</v>
      </c>
      <c r="E17" s="18" t="s">
        <v>50</v>
      </c>
      <c r="F17" s="19">
        <f ca="1">ROUND(2*(F16-$C$7)/$C$8,0)/2+F15</f>
        <v>7627.5</v>
      </c>
    </row>
    <row r="18" spans="1:21" ht="14.25" thickTop="1" thickBot="1">
      <c r="A18" s="20" t="s">
        <v>8</v>
      </c>
      <c r="B18" s="11"/>
      <c r="C18" s="23">
        <f ca="1">+C15</f>
        <v>59870.38611051983</v>
      </c>
      <c r="D18" s="24">
        <f ca="1">+C16</f>
        <v>2.1044213582716647</v>
      </c>
      <c r="E18" s="18" t="s">
        <v>43</v>
      </c>
      <c r="F18" s="15">
        <f ca="1">ROUND(2*(F16-$C$15)/$C$16,0)/2+F15</f>
        <v>140.5</v>
      </c>
    </row>
    <row r="19" spans="1:21" ht="13.5" thickTop="1">
      <c r="E19" s="18" t="s">
        <v>44</v>
      </c>
      <c r="F19" s="22">
        <f ca="1">+$C$15+$C$16*F18-15018.5-$C$5/24</f>
        <v>45147.953144690335</v>
      </c>
    </row>
    <row r="20" spans="1:21" ht="13.5" thickBot="1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63</v>
      </c>
      <c r="I20" s="8" t="s">
        <v>66</v>
      </c>
      <c r="J20" s="8" t="s">
        <v>60</v>
      </c>
      <c r="K20" s="8" t="s">
        <v>58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18</v>
      </c>
      <c r="U20" s="45" t="s">
        <v>195</v>
      </c>
    </row>
    <row r="21" spans="1:21">
      <c r="A21" s="44" t="s">
        <v>73</v>
      </c>
      <c r="B21" s="43" t="s">
        <v>35</v>
      </c>
      <c r="C21" s="44">
        <v>29598.291000000001</v>
      </c>
      <c r="D21" s="44" t="s">
        <v>66</v>
      </c>
      <c r="E21" s="29">
        <f t="shared" ref="E21:E50" si="0">+(C21-C$7)/C$8</f>
        <v>-6898.0113965082483</v>
      </c>
      <c r="F21">
        <f t="shared" ref="F21:F53" si="1">ROUND(2*E21,0)/2</f>
        <v>-6898</v>
      </c>
      <c r="G21">
        <f t="shared" ref="G21:G33" si="2">+C21-(C$7+F21*C$8)</f>
        <v>-2.3982999999134336E-2</v>
      </c>
      <c r="H21">
        <f t="shared" ref="H21:H33" si="3">+G21</f>
        <v>-2.3982999999134336E-2</v>
      </c>
      <c r="O21">
        <f t="shared" ref="O21:O50" ca="1" si="4">+C$11+C$12*F21</f>
        <v>-3.0111218064246454E-2</v>
      </c>
      <c r="Q21" s="1">
        <f t="shared" ref="Q21:Q50" si="5">+C21-15018.5</f>
        <v>14579.791000000001</v>
      </c>
    </row>
    <row r="22" spans="1:21">
      <c r="A22" s="44" t="s">
        <v>73</v>
      </c>
      <c r="B22" s="43" t="s">
        <v>35</v>
      </c>
      <c r="C22" s="44">
        <v>30021.279999999999</v>
      </c>
      <c r="D22" s="44" t="s">
        <v>66</v>
      </c>
      <c r="E22" s="29">
        <f t="shared" si="0"/>
        <v>-6697.0107866004673</v>
      </c>
      <c r="F22">
        <f t="shared" si="1"/>
        <v>-6697</v>
      </c>
      <c r="G22">
        <f t="shared" si="2"/>
        <v>-2.269950000118115E-2</v>
      </c>
      <c r="H22">
        <f t="shared" si="3"/>
        <v>-2.269950000118115E-2</v>
      </c>
      <c r="O22">
        <f t="shared" ca="1" si="4"/>
        <v>-2.9134705459655196E-2</v>
      </c>
      <c r="Q22" s="1">
        <f t="shared" si="5"/>
        <v>15002.779999999999</v>
      </c>
    </row>
    <row r="23" spans="1:21">
      <c r="A23" s="44" t="s">
        <v>73</v>
      </c>
      <c r="B23" s="43" t="s">
        <v>35</v>
      </c>
      <c r="C23" s="44">
        <v>30591.599999999999</v>
      </c>
      <c r="D23" s="44" t="s">
        <v>66</v>
      </c>
      <c r="E23" s="29">
        <f t="shared" si="0"/>
        <v>-6425.9997961430172</v>
      </c>
      <c r="F23">
        <f t="shared" si="1"/>
        <v>-6426</v>
      </c>
      <c r="G23">
        <f t="shared" si="2"/>
        <v>4.2899999971268699E-4</v>
      </c>
      <c r="H23">
        <f t="shared" si="3"/>
        <v>4.2899999971268699E-4</v>
      </c>
      <c r="O23">
        <f t="shared" ca="1" si="4"/>
        <v>-2.7818113838539622E-2</v>
      </c>
      <c r="Q23" s="1">
        <f t="shared" si="5"/>
        <v>15573.099999999999</v>
      </c>
    </row>
    <row r="24" spans="1:21">
      <c r="A24" s="44" t="s">
        <v>73</v>
      </c>
      <c r="B24" s="43" t="s">
        <v>35</v>
      </c>
      <c r="C24" s="44">
        <v>30930.434000000001</v>
      </c>
      <c r="D24" s="44" t="s">
        <v>66</v>
      </c>
      <c r="E24" s="29">
        <f t="shared" si="0"/>
        <v>-6264.9888935959207</v>
      </c>
      <c r="F24">
        <f t="shared" si="1"/>
        <v>-6265</v>
      </c>
      <c r="G24">
        <f t="shared" si="2"/>
        <v>2.3372499999823049E-2</v>
      </c>
      <c r="H24">
        <f t="shared" si="3"/>
        <v>2.3372499999823049E-2</v>
      </c>
      <c r="O24">
        <f t="shared" ca="1" si="4"/>
        <v>-2.7035932100533691E-2</v>
      </c>
      <c r="Q24" s="1">
        <f t="shared" si="5"/>
        <v>15911.934000000001</v>
      </c>
    </row>
    <row r="25" spans="1:21">
      <c r="A25" s="44" t="s">
        <v>73</v>
      </c>
      <c r="B25" s="43" t="s">
        <v>35</v>
      </c>
      <c r="C25" s="44">
        <v>31029.316999999999</v>
      </c>
      <c r="D25" s="44" t="s">
        <v>66</v>
      </c>
      <c r="E25" s="29">
        <f t="shared" si="0"/>
        <v>-6218.0005716548994</v>
      </c>
      <c r="F25">
        <f t="shared" si="1"/>
        <v>-6218</v>
      </c>
      <c r="G25">
        <f t="shared" si="2"/>
        <v>-1.2030000034428667E-3</v>
      </c>
      <c r="H25">
        <f t="shared" si="3"/>
        <v>-1.2030000034428667E-3</v>
      </c>
      <c r="O25">
        <f t="shared" ca="1" si="4"/>
        <v>-2.6807593332295935E-2</v>
      </c>
      <c r="Q25" s="1">
        <f t="shared" si="5"/>
        <v>16010.816999999999</v>
      </c>
    </row>
    <row r="26" spans="1:21">
      <c r="A26" s="44" t="s">
        <v>73</v>
      </c>
      <c r="B26" s="43" t="s">
        <v>35</v>
      </c>
      <c r="C26" s="44">
        <v>32119.439999999999</v>
      </c>
      <c r="D26" s="44" t="s">
        <v>66</v>
      </c>
      <c r="E26" s="29">
        <f t="shared" si="0"/>
        <v>-5699.9838197429081</v>
      </c>
      <c r="F26">
        <f t="shared" si="1"/>
        <v>-5700</v>
      </c>
      <c r="G26">
        <f t="shared" si="2"/>
        <v>3.4049999998387648E-2</v>
      </c>
      <c r="H26">
        <f t="shared" si="3"/>
        <v>3.4049999998387648E-2</v>
      </c>
      <c r="O26">
        <f t="shared" ca="1" si="4"/>
        <v>-2.4291008610015982E-2</v>
      </c>
      <c r="Q26" s="1">
        <f t="shared" si="5"/>
        <v>17100.939999999999</v>
      </c>
    </row>
    <row r="27" spans="1:21">
      <c r="A27" s="44" t="s">
        <v>73</v>
      </c>
      <c r="B27" s="43" t="s">
        <v>35</v>
      </c>
      <c r="C27" s="44">
        <v>39533.267999999996</v>
      </c>
      <c r="D27" s="44" t="s">
        <v>66</v>
      </c>
      <c r="E27" s="29">
        <f t="shared" si="0"/>
        <v>-2176.9987072426038</v>
      </c>
      <c r="F27">
        <f t="shared" si="1"/>
        <v>-2177</v>
      </c>
      <c r="G27">
        <f t="shared" si="2"/>
        <v>2.720499993301928E-3</v>
      </c>
      <c r="H27">
        <f t="shared" si="3"/>
        <v>2.720499993301928E-3</v>
      </c>
      <c r="O27">
        <f t="shared" ca="1" si="4"/>
        <v>-7.1753175355135212E-3</v>
      </c>
      <c r="Q27" s="1">
        <f t="shared" si="5"/>
        <v>24514.767999999996</v>
      </c>
    </row>
    <row r="28" spans="1:21">
      <c r="A28" s="44" t="s">
        <v>73</v>
      </c>
      <c r="B28" s="43" t="s">
        <v>35</v>
      </c>
      <c r="C28" s="44">
        <v>40425.550999999999</v>
      </c>
      <c r="D28" s="44" t="s">
        <v>66</v>
      </c>
      <c r="E28" s="29">
        <f t="shared" si="0"/>
        <v>-1752.9937633543559</v>
      </c>
      <c r="F28">
        <f t="shared" si="1"/>
        <v>-1753</v>
      </c>
      <c r="G28">
        <f t="shared" si="2"/>
        <v>1.3124500001140404E-2</v>
      </c>
      <c r="H28">
        <f t="shared" si="3"/>
        <v>1.3124500001140404E-2</v>
      </c>
      <c r="O28">
        <f t="shared" ca="1" si="4"/>
        <v>-5.1154103497090802E-3</v>
      </c>
      <c r="Q28" s="1">
        <f t="shared" si="5"/>
        <v>25407.050999999999</v>
      </c>
    </row>
    <row r="29" spans="1:21">
      <c r="A29" s="44" t="s">
        <v>73</v>
      </c>
      <c r="B29" s="43" t="s">
        <v>35</v>
      </c>
      <c r="C29" s="44">
        <v>40444.525999999998</v>
      </c>
      <c r="D29" s="44" t="s">
        <v>66</v>
      </c>
      <c r="E29" s="29">
        <f t="shared" si="0"/>
        <v>-1743.9770121551526</v>
      </c>
      <c r="F29">
        <f t="shared" si="1"/>
        <v>-1744</v>
      </c>
      <c r="G29">
        <f t="shared" si="2"/>
        <v>4.8375999998825137E-2</v>
      </c>
      <c r="H29">
        <f t="shared" si="3"/>
        <v>4.8375999998825137E-2</v>
      </c>
      <c r="O29">
        <f t="shared" ca="1" si="4"/>
        <v>-5.0716859047273827E-3</v>
      </c>
      <c r="Q29" s="1">
        <f t="shared" si="5"/>
        <v>25426.025999999998</v>
      </c>
    </row>
    <row r="30" spans="1:21">
      <c r="A30" s="44" t="s">
        <v>73</v>
      </c>
      <c r="B30" s="43" t="s">
        <v>35</v>
      </c>
      <c r="C30" s="44">
        <v>41071.56</v>
      </c>
      <c r="D30" s="44" t="s">
        <v>66</v>
      </c>
      <c r="E30" s="29">
        <f t="shared" si="0"/>
        <v>-1446.0160334230434</v>
      </c>
      <c r="F30">
        <f t="shared" si="1"/>
        <v>-1446</v>
      </c>
      <c r="G30">
        <f t="shared" si="2"/>
        <v>-3.3741000006557442E-2</v>
      </c>
      <c r="H30">
        <f t="shared" si="3"/>
        <v>-3.3741000006557442E-2</v>
      </c>
      <c r="O30">
        <f t="shared" ca="1" si="4"/>
        <v>-3.6239209486667139E-3</v>
      </c>
      <c r="Q30" s="1">
        <f t="shared" si="5"/>
        <v>26053.059999999998</v>
      </c>
    </row>
    <row r="31" spans="1:21">
      <c r="A31" s="44" t="s">
        <v>73</v>
      </c>
      <c r="B31" s="43" t="s">
        <v>35</v>
      </c>
      <c r="C31" s="44">
        <v>41130.506000000001</v>
      </c>
      <c r="D31" s="44" t="s">
        <v>66</v>
      </c>
      <c r="E31" s="29">
        <f t="shared" si="0"/>
        <v>-1418.0054186041596</v>
      </c>
      <c r="F31">
        <f t="shared" si="1"/>
        <v>-1418</v>
      </c>
      <c r="G31">
        <f t="shared" si="2"/>
        <v>-1.1403000004065689E-2</v>
      </c>
      <c r="H31">
        <f t="shared" si="3"/>
        <v>-1.1403000004065689E-2</v>
      </c>
      <c r="O31">
        <f t="shared" ca="1" si="4"/>
        <v>-3.487889342056987E-3</v>
      </c>
      <c r="Q31" s="1">
        <f t="shared" si="5"/>
        <v>26112.006000000001</v>
      </c>
    </row>
    <row r="32" spans="1:21">
      <c r="A32" s="44" t="s">
        <v>73</v>
      </c>
      <c r="B32" s="43" t="s">
        <v>35</v>
      </c>
      <c r="C32" s="44">
        <v>41149.491000000002</v>
      </c>
      <c r="D32" s="44" t="s">
        <v>66</v>
      </c>
      <c r="E32" s="29">
        <f t="shared" si="0"/>
        <v>-1408.9839154939148</v>
      </c>
      <c r="F32">
        <f t="shared" si="1"/>
        <v>-1409</v>
      </c>
      <c r="G32">
        <f t="shared" si="2"/>
        <v>3.3848500002932269E-2</v>
      </c>
      <c r="H32">
        <f t="shared" si="3"/>
        <v>3.3848500002932269E-2</v>
      </c>
      <c r="O32">
        <f t="shared" ca="1" si="4"/>
        <v>-3.4441648970752886E-3</v>
      </c>
      <c r="Q32" s="1">
        <f t="shared" si="5"/>
        <v>26130.991000000002</v>
      </c>
    </row>
    <row r="33" spans="1:31">
      <c r="A33" s="44" t="s">
        <v>73</v>
      </c>
      <c r="B33" s="43" t="s">
        <v>35</v>
      </c>
      <c r="C33" s="44">
        <v>41151.525999999998</v>
      </c>
      <c r="D33" s="44" t="s">
        <v>66</v>
      </c>
      <c r="E33" s="29">
        <f t="shared" si="0"/>
        <v>-1408.0169015971903</v>
      </c>
      <c r="F33">
        <f t="shared" si="1"/>
        <v>-1408</v>
      </c>
      <c r="G33">
        <f t="shared" si="2"/>
        <v>-3.5568000006605871E-2</v>
      </c>
      <c r="H33">
        <f t="shared" si="3"/>
        <v>-3.5568000006605871E-2</v>
      </c>
      <c r="O33">
        <f t="shared" ca="1" si="4"/>
        <v>-3.4393066254106552E-3</v>
      </c>
      <c r="Q33" s="1">
        <f t="shared" si="5"/>
        <v>26133.025999999998</v>
      </c>
    </row>
    <row r="34" spans="1:31">
      <c r="A34" t="s">
        <v>15</v>
      </c>
      <c r="C34" s="27">
        <v>44114.58</v>
      </c>
      <c r="D34" s="27" t="s">
        <v>17</v>
      </c>
      <c r="E34">
        <f t="shared" si="0"/>
        <v>0</v>
      </c>
      <c r="F34">
        <f t="shared" si="1"/>
        <v>0</v>
      </c>
      <c r="H34">
        <v>0</v>
      </c>
      <c r="O34">
        <f t="shared" ca="1" si="4"/>
        <v>3.4011398783927692E-3</v>
      </c>
      <c r="Q34" s="1">
        <f t="shared" si="5"/>
        <v>29096.080000000002</v>
      </c>
    </row>
    <row r="35" spans="1:31">
      <c r="A35" s="44" t="s">
        <v>120</v>
      </c>
      <c r="B35" s="43" t="s">
        <v>35</v>
      </c>
      <c r="C35" s="44">
        <v>46488.383999999998</v>
      </c>
      <c r="D35" s="44" t="s">
        <v>66</v>
      </c>
      <c r="E35" s="29">
        <f t="shared" si="0"/>
        <v>1128.0105435402147</v>
      </c>
      <c r="F35">
        <f t="shared" si="1"/>
        <v>1128</v>
      </c>
      <c r="G35">
        <f t="shared" ref="G35:G50" si="6">+C35-(C$7+F35*C$8)</f>
        <v>2.2187999995367136E-2</v>
      </c>
      <c r="I35">
        <f>+G35</f>
        <v>2.2187999995367136E-2</v>
      </c>
      <c r="O35">
        <f t="shared" ca="1" si="4"/>
        <v>8.8812703160989215E-3</v>
      </c>
      <c r="Q35" s="1">
        <f t="shared" si="5"/>
        <v>31469.883999999998</v>
      </c>
    </row>
    <row r="36" spans="1:31">
      <c r="A36" s="44" t="s">
        <v>125</v>
      </c>
      <c r="B36" s="43" t="s">
        <v>47</v>
      </c>
      <c r="C36" s="44">
        <v>46769.313000000002</v>
      </c>
      <c r="D36" s="44" t="s">
        <v>66</v>
      </c>
      <c r="E36" s="29">
        <f t="shared" si="0"/>
        <v>1261.505505207738</v>
      </c>
      <c r="F36">
        <f t="shared" si="1"/>
        <v>1261.5</v>
      </c>
      <c r="G36">
        <f t="shared" si="6"/>
        <v>1.1585250002099201E-2</v>
      </c>
      <c r="I36">
        <f>+G36</f>
        <v>1.1585250002099201E-2</v>
      </c>
      <c r="O36">
        <f t="shared" ca="1" si="4"/>
        <v>9.5298495833274419E-3</v>
      </c>
      <c r="Q36" s="1">
        <f t="shared" si="5"/>
        <v>31750.813000000002</v>
      </c>
    </row>
    <row r="37" spans="1:31">
      <c r="A37" t="s">
        <v>32</v>
      </c>
      <c r="C37" s="28">
        <v>48986.307999999997</v>
      </c>
      <c r="D37" s="27">
        <v>6.9999999999999999E-4</v>
      </c>
      <c r="E37">
        <f t="shared" si="0"/>
        <v>2315.0018069141706</v>
      </c>
      <c r="F37">
        <f t="shared" si="1"/>
        <v>2315</v>
      </c>
      <c r="G37">
        <f t="shared" si="6"/>
        <v>3.8024999957997352E-3</v>
      </c>
      <c r="I37">
        <f>+G37</f>
        <v>3.8024999957997352E-3</v>
      </c>
      <c r="O37">
        <f t="shared" ca="1" si="4"/>
        <v>1.4648038782018428E-2</v>
      </c>
      <c r="Q37" s="1">
        <f t="shared" si="5"/>
        <v>33967.807999999997</v>
      </c>
      <c r="AA37">
        <v>13</v>
      </c>
      <c r="AC37" t="s">
        <v>31</v>
      </c>
      <c r="AE37" t="s">
        <v>33</v>
      </c>
    </row>
    <row r="38" spans="1:31">
      <c r="A38" s="44" t="s">
        <v>130</v>
      </c>
      <c r="B38" s="43" t="s">
        <v>35</v>
      </c>
      <c r="C38" s="44">
        <v>48986.308900000004</v>
      </c>
      <c r="D38" s="44" t="s">
        <v>66</v>
      </c>
      <c r="E38" s="29">
        <f t="shared" si="0"/>
        <v>2315.0022345861676</v>
      </c>
      <c r="F38">
        <f t="shared" si="1"/>
        <v>2315</v>
      </c>
      <c r="G38">
        <f t="shared" si="6"/>
        <v>4.7025000021676533E-3</v>
      </c>
      <c r="J38">
        <f>+G38</f>
        <v>4.7025000021676533E-3</v>
      </c>
      <c r="O38">
        <f t="shared" ca="1" si="4"/>
        <v>1.4648038782018428E-2</v>
      </c>
      <c r="Q38" s="1">
        <f t="shared" si="5"/>
        <v>33967.808900000004</v>
      </c>
    </row>
    <row r="39" spans="1:31">
      <c r="A39" s="46" t="s">
        <v>53</v>
      </c>
      <c r="B39" s="47"/>
      <c r="C39" s="48">
        <v>50686.692000000003</v>
      </c>
      <c r="D39" s="48"/>
      <c r="E39" s="29">
        <f t="shared" si="0"/>
        <v>3123.0091571701705</v>
      </c>
      <c r="F39">
        <f t="shared" si="1"/>
        <v>3123</v>
      </c>
      <c r="G39">
        <f t="shared" si="6"/>
        <v>1.9270500000857282E-2</v>
      </c>
      <c r="I39">
        <f>+G39</f>
        <v>1.9270500000857282E-2</v>
      </c>
      <c r="O39">
        <f t="shared" ca="1" si="4"/>
        <v>1.8573522287041982E-2</v>
      </c>
      <c r="Q39" s="1">
        <f t="shared" si="5"/>
        <v>35668.192000000003</v>
      </c>
    </row>
    <row r="40" spans="1:31" s="55" customFormat="1" ht="12" customHeight="1">
      <c r="A40" s="53" t="s">
        <v>36</v>
      </c>
      <c r="B40" s="54"/>
      <c r="C40" s="53">
        <v>51812.552300000003</v>
      </c>
      <c r="D40" s="53">
        <v>3.8999999999999998E-3</v>
      </c>
      <c r="E40" s="29">
        <f t="shared" si="0"/>
        <v>3658.0079561246553</v>
      </c>
      <c r="F40" s="55">
        <f t="shared" si="1"/>
        <v>3658</v>
      </c>
      <c r="G40" s="55">
        <f t="shared" si="6"/>
        <v>1.6743000000133179E-2</v>
      </c>
      <c r="J40" s="55">
        <f>+G40</f>
        <v>1.6743000000133179E-2</v>
      </c>
      <c r="O40" s="55">
        <f t="shared" ca="1" si="4"/>
        <v>2.1172697627620699E-2</v>
      </c>
      <c r="Q40" s="56">
        <f t="shared" si="5"/>
        <v>36794.052300000003</v>
      </c>
    </row>
    <row r="41" spans="1:31" s="55" customFormat="1" ht="12" customHeight="1">
      <c r="A41" s="54" t="s">
        <v>34</v>
      </c>
      <c r="B41" s="57" t="s">
        <v>35</v>
      </c>
      <c r="C41" s="58">
        <v>52860.559399999998</v>
      </c>
      <c r="D41" s="58">
        <v>1.4E-3</v>
      </c>
      <c r="E41" s="29">
        <f t="shared" si="0"/>
        <v>4156.0116070179056</v>
      </c>
      <c r="F41" s="55">
        <f t="shared" si="1"/>
        <v>4156</v>
      </c>
      <c r="G41" s="55">
        <f t="shared" si="6"/>
        <v>2.4425999996310566E-2</v>
      </c>
      <c r="K41" s="55">
        <f>+G41</f>
        <v>2.4425999996310566E-2</v>
      </c>
      <c r="O41" s="55">
        <f t="shared" ca="1" si="4"/>
        <v>2.3592116916607991E-2</v>
      </c>
      <c r="Q41" s="56">
        <f t="shared" si="5"/>
        <v>37842.059399999998</v>
      </c>
    </row>
    <row r="42" spans="1:31" s="55" customFormat="1" ht="12" customHeight="1">
      <c r="A42" s="59" t="s">
        <v>38</v>
      </c>
      <c r="B42" s="57"/>
      <c r="C42" s="53">
        <v>53544.496200000001</v>
      </c>
      <c r="D42" s="53">
        <v>1.6999999999999999E-3</v>
      </c>
      <c r="E42" s="29">
        <f t="shared" si="0"/>
        <v>4481.0122901051191</v>
      </c>
      <c r="F42" s="55">
        <f t="shared" si="1"/>
        <v>4481</v>
      </c>
      <c r="G42" s="55">
        <f t="shared" si="6"/>
        <v>2.5863499999104533E-2</v>
      </c>
      <c r="J42" s="55">
        <f>+G42</f>
        <v>2.5863499999104533E-2</v>
      </c>
      <c r="O42" s="55">
        <f t="shared" ca="1" si="4"/>
        <v>2.5171055207613754E-2</v>
      </c>
      <c r="Q42" s="56">
        <f t="shared" si="5"/>
        <v>38525.996200000001</v>
      </c>
    </row>
    <row r="43" spans="1:31" s="55" customFormat="1" ht="12" customHeight="1">
      <c r="A43" s="59" t="s">
        <v>46</v>
      </c>
      <c r="B43" s="60" t="s">
        <v>47</v>
      </c>
      <c r="C43" s="53">
        <v>54789.264479999998</v>
      </c>
      <c r="D43" s="53">
        <v>4.0000000000000002E-4</v>
      </c>
      <c r="E43" s="29">
        <f t="shared" si="0"/>
        <v>5072.5151033552511</v>
      </c>
      <c r="F43" s="55">
        <f t="shared" si="1"/>
        <v>5072.5</v>
      </c>
      <c r="G43" s="55">
        <f t="shared" si="6"/>
        <v>3.178374999697553E-2</v>
      </c>
      <c r="K43" s="55">
        <f t="shared" ref="K43:K48" si="7">+G43</f>
        <v>3.178374999697553E-2</v>
      </c>
      <c r="O43" s="55">
        <f t="shared" ca="1" si="4"/>
        <v>2.8044722897244242E-2</v>
      </c>
      <c r="Q43" s="56">
        <f t="shared" si="5"/>
        <v>39770.764479999998</v>
      </c>
    </row>
    <row r="44" spans="1:31" s="55" customFormat="1" ht="12" customHeight="1">
      <c r="A44" s="59" t="s">
        <v>48</v>
      </c>
      <c r="B44" s="60" t="s">
        <v>35</v>
      </c>
      <c r="C44" s="53">
        <v>55383.763599999998</v>
      </c>
      <c r="D44" s="53">
        <v>6.9999999999999999E-4</v>
      </c>
      <c r="E44" s="29">
        <f t="shared" si="0"/>
        <v>5355.0157965402741</v>
      </c>
      <c r="F44" s="55">
        <f t="shared" si="1"/>
        <v>5355</v>
      </c>
      <c r="G44" s="55">
        <f t="shared" si="6"/>
        <v>3.3242499994230457E-2</v>
      </c>
      <c r="K44" s="55">
        <f t="shared" si="7"/>
        <v>3.3242499994230457E-2</v>
      </c>
      <c r="O44" s="55">
        <f t="shared" ca="1" si="4"/>
        <v>2.9417184642503095E-2</v>
      </c>
      <c r="Q44" s="56">
        <f t="shared" si="5"/>
        <v>40365.263599999998</v>
      </c>
    </row>
    <row r="45" spans="1:31" s="55" customFormat="1" ht="12" customHeight="1">
      <c r="A45" s="61" t="s">
        <v>52</v>
      </c>
      <c r="B45" s="62" t="s">
        <v>35</v>
      </c>
      <c r="C45" s="61">
        <v>55436.374100000001</v>
      </c>
      <c r="D45" s="61">
        <v>5.0000000000000001E-4</v>
      </c>
      <c r="E45" s="29">
        <f t="shared" si="0"/>
        <v>5380.0158381194969</v>
      </c>
      <c r="F45" s="55">
        <f t="shared" si="1"/>
        <v>5380</v>
      </c>
      <c r="G45" s="55">
        <f t="shared" si="6"/>
        <v>3.3329999998386484E-2</v>
      </c>
      <c r="K45" s="55">
        <f t="shared" si="7"/>
        <v>3.3329999998386484E-2</v>
      </c>
      <c r="O45" s="55">
        <f t="shared" ca="1" si="4"/>
        <v>2.9538641434118922E-2</v>
      </c>
      <c r="Q45" s="56">
        <f t="shared" si="5"/>
        <v>40417.874100000001</v>
      </c>
    </row>
    <row r="46" spans="1:31" s="55" customFormat="1" ht="12" customHeight="1">
      <c r="A46" s="61" t="s">
        <v>51</v>
      </c>
      <c r="B46" s="62" t="s">
        <v>35</v>
      </c>
      <c r="C46" s="61">
        <v>55819.37283</v>
      </c>
      <c r="D46" s="61">
        <v>4.4999999999999999E-4</v>
      </c>
      <c r="E46" s="29">
        <f t="shared" si="0"/>
        <v>5562.0134274750262</v>
      </c>
      <c r="F46" s="55">
        <f t="shared" si="1"/>
        <v>5562</v>
      </c>
      <c r="G46" s="55">
        <f t="shared" si="6"/>
        <v>2.8256999998120591E-2</v>
      </c>
      <c r="K46" s="55">
        <f t="shared" si="7"/>
        <v>2.8256999998120591E-2</v>
      </c>
      <c r="O46" s="55">
        <f t="shared" ca="1" si="4"/>
        <v>3.042284687708215E-2</v>
      </c>
      <c r="Q46" s="56">
        <f t="shared" si="5"/>
        <v>40800.87283</v>
      </c>
    </row>
    <row r="47" spans="1:31" s="55" customFormat="1" ht="12" customHeight="1">
      <c r="A47" s="61" t="s">
        <v>51</v>
      </c>
      <c r="B47" s="62" t="s">
        <v>47</v>
      </c>
      <c r="C47" s="61">
        <v>55839.367319999998</v>
      </c>
      <c r="D47" s="61">
        <v>5.8E-4</v>
      </c>
      <c r="E47" s="29">
        <f t="shared" si="0"/>
        <v>5571.5146312528886</v>
      </c>
      <c r="F47" s="55">
        <f t="shared" si="1"/>
        <v>5571.5</v>
      </c>
      <c r="G47" s="55">
        <f t="shared" si="6"/>
        <v>3.0790249998972286E-2</v>
      </c>
      <c r="K47" s="55">
        <f t="shared" si="7"/>
        <v>3.0790249998972286E-2</v>
      </c>
      <c r="O47" s="55">
        <f t="shared" ca="1" si="4"/>
        <v>3.0469000457896165E-2</v>
      </c>
      <c r="Q47" s="56">
        <f t="shared" si="5"/>
        <v>40820.867319999998</v>
      </c>
    </row>
    <row r="48" spans="1:31" s="55" customFormat="1" ht="12" customHeight="1">
      <c r="A48" s="59" t="s">
        <v>54</v>
      </c>
      <c r="B48" s="60" t="s">
        <v>35</v>
      </c>
      <c r="C48" s="53">
        <v>56465.431879999996</v>
      </c>
      <c r="D48" s="53">
        <v>2.0000000000000001E-4</v>
      </c>
      <c r="E48" s="29">
        <f t="shared" si="0"/>
        <v>5869.0149407210947</v>
      </c>
      <c r="F48" s="55">
        <f t="shared" si="1"/>
        <v>5869</v>
      </c>
      <c r="G48" s="55">
        <f t="shared" si="6"/>
        <v>3.1441499995708E-2</v>
      </c>
      <c r="K48" s="55">
        <f t="shared" si="7"/>
        <v>3.1441499995708E-2</v>
      </c>
      <c r="O48" s="55">
        <f t="shared" ca="1" si="4"/>
        <v>3.1914336278124518E-2</v>
      </c>
      <c r="Q48" s="56">
        <f t="shared" si="5"/>
        <v>41446.931879999996</v>
      </c>
    </row>
    <row r="49" spans="1:17" s="55" customFormat="1" ht="12" customHeight="1">
      <c r="A49" s="58" t="s">
        <v>55</v>
      </c>
      <c r="B49" s="60"/>
      <c r="C49" s="58">
        <v>56907.363799999999</v>
      </c>
      <c r="D49" s="58">
        <v>4.0000000000000002E-4</v>
      </c>
      <c r="E49" s="29">
        <f t="shared" si="0"/>
        <v>6079.0170576974642</v>
      </c>
      <c r="F49" s="55">
        <f t="shared" si="1"/>
        <v>6079</v>
      </c>
      <c r="G49" s="55">
        <f t="shared" si="6"/>
        <v>3.5896499997761566E-2</v>
      </c>
      <c r="J49" s="55">
        <f>+G49</f>
        <v>3.5896499997761566E-2</v>
      </c>
      <c r="O49" s="55">
        <f t="shared" ca="1" si="4"/>
        <v>3.2934573327697475E-2</v>
      </c>
      <c r="Q49" s="56">
        <f t="shared" si="5"/>
        <v>41888.863799999999</v>
      </c>
    </row>
    <row r="50" spans="1:17" s="55" customFormat="1" ht="12" customHeight="1">
      <c r="A50" s="58" t="s">
        <v>55</v>
      </c>
      <c r="B50" s="60"/>
      <c r="C50" s="58">
        <v>56929.457000000002</v>
      </c>
      <c r="D50" s="58">
        <v>8.0000000000000002E-3</v>
      </c>
      <c r="E50" s="29">
        <f t="shared" si="0"/>
        <v>6089.5155497972955</v>
      </c>
      <c r="F50" s="55">
        <f t="shared" si="1"/>
        <v>6089.5</v>
      </c>
      <c r="G50" s="55">
        <f t="shared" si="6"/>
        <v>3.2723249998525716E-2</v>
      </c>
      <c r="J50" s="55">
        <f>+G50</f>
        <v>3.2723249998525716E-2</v>
      </c>
      <c r="O50" s="55">
        <f t="shared" ca="1" si="4"/>
        <v>3.2985585180176122E-2</v>
      </c>
      <c r="Q50" s="56">
        <f t="shared" si="5"/>
        <v>41910.957000000002</v>
      </c>
    </row>
    <row r="51" spans="1:17" s="55" customFormat="1" ht="12" customHeight="1">
      <c r="A51" s="63" t="s">
        <v>1</v>
      </c>
      <c r="B51" s="64" t="s">
        <v>35</v>
      </c>
      <c r="C51" s="65">
        <v>57330.3482</v>
      </c>
      <c r="D51" s="65" t="s">
        <v>2</v>
      </c>
      <c r="E51" s="29">
        <f>+(C51-C$7)/C$8</f>
        <v>6280.0154817261682</v>
      </c>
      <c r="F51" s="55">
        <f t="shared" si="1"/>
        <v>6280</v>
      </c>
      <c r="G51" s="55">
        <f>+C51-(C$7+F51*C$8)</f>
        <v>3.2579999999143183E-2</v>
      </c>
      <c r="K51" s="55">
        <f>+G51</f>
        <v>3.2579999999143183E-2</v>
      </c>
      <c r="O51" s="55">
        <f ca="1">+C$11+C$12*F51</f>
        <v>3.3911085932288726E-2</v>
      </c>
      <c r="Q51" s="56">
        <f>+C51-15018.5</f>
        <v>42311.8482</v>
      </c>
    </row>
    <row r="52" spans="1:17" s="55" customFormat="1" ht="12" customHeight="1">
      <c r="A52" s="66" t="s">
        <v>196</v>
      </c>
      <c r="B52" s="67" t="s">
        <v>35</v>
      </c>
      <c r="C52" s="68">
        <v>57593.400930000003</v>
      </c>
      <c r="D52" s="68">
        <v>6.9999999999999999E-4</v>
      </c>
      <c r="E52" s="29">
        <f>+(C52-C$7)/C$8</f>
        <v>6405.0157989162317</v>
      </c>
      <c r="F52" s="55">
        <f t="shared" si="1"/>
        <v>6405</v>
      </c>
      <c r="G52" s="55">
        <f>+C52-(C$7+F52*C$8)</f>
        <v>3.3247500003199093E-2</v>
      </c>
      <c r="K52" s="55">
        <f>+G52</f>
        <v>3.3247500003199093E-2</v>
      </c>
      <c r="O52" s="55">
        <f ca="1">+C$11+C$12*F52</f>
        <v>3.451836989036787E-2</v>
      </c>
      <c r="Q52" s="56">
        <f>+C52-15018.5</f>
        <v>42574.900930000003</v>
      </c>
    </row>
    <row r="53" spans="1:17" s="55" customFormat="1" ht="12" customHeight="1">
      <c r="A53" s="49" t="s">
        <v>0</v>
      </c>
      <c r="B53" s="50" t="s">
        <v>35</v>
      </c>
      <c r="C53" s="50">
        <v>57917.4804</v>
      </c>
      <c r="D53" s="50">
        <v>5.9999999999999995E-4</v>
      </c>
      <c r="E53" s="29">
        <f>+(C53-C$7)/C$8</f>
        <v>6559.0154800629998</v>
      </c>
      <c r="F53" s="55">
        <f t="shared" si="1"/>
        <v>6559</v>
      </c>
      <c r="G53" s="55">
        <f>+C53-(C$7+F53*C$8)</f>
        <v>3.2576500001596287E-2</v>
      </c>
      <c r="K53" s="55">
        <f>+G53</f>
        <v>3.2576500001596287E-2</v>
      </c>
      <c r="O53" s="55">
        <f ca="1">+C$11+C$12*F53</f>
        <v>3.5266543726721361E-2</v>
      </c>
      <c r="Q53" s="56">
        <f>+C53-15018.5</f>
        <v>42898.9804</v>
      </c>
    </row>
    <row r="54" spans="1:17" s="55" customFormat="1" ht="12" customHeight="1">
      <c r="A54" s="51" t="s">
        <v>198</v>
      </c>
      <c r="B54" s="52" t="s">
        <v>35</v>
      </c>
      <c r="C54" s="69">
        <v>59870.387300000002</v>
      </c>
      <c r="D54" s="70">
        <v>1E-4</v>
      </c>
      <c r="E54" s="29">
        <f>+(C54-C$7)/C$8</f>
        <v>7487.019465965981</v>
      </c>
      <c r="F54" s="55">
        <f t="shared" ref="F54" si="8">ROUND(2*E54,0)/2</f>
        <v>7487</v>
      </c>
      <c r="G54" s="55">
        <f>+C54-(C$7+F54*C$8)</f>
        <v>4.0964500003610738E-2</v>
      </c>
      <c r="K54" s="55">
        <f>+G54</f>
        <v>4.0964500003610738E-2</v>
      </c>
      <c r="O54" s="55">
        <f ca="1">+C$11+C$12*F54</f>
        <v>3.9775019831500891E-2</v>
      </c>
      <c r="Q54" s="56">
        <f>+C54-15018.5</f>
        <v>44851.887300000002</v>
      </c>
    </row>
    <row r="55" spans="1:17" s="55" customFormat="1" ht="12" customHeight="1">
      <c r="B55" s="71"/>
    </row>
    <row r="56" spans="1:17" s="55" customFormat="1" ht="12" customHeight="1">
      <c r="B56" s="71"/>
    </row>
    <row r="57" spans="1:17" s="55" customFormat="1" ht="12" customHeight="1">
      <c r="B57" s="71"/>
    </row>
    <row r="58" spans="1:17" s="55" customFormat="1" ht="12" customHeight="1">
      <c r="B58" s="71"/>
    </row>
    <row r="59" spans="1:17" s="55" customFormat="1" ht="12" customHeight="1">
      <c r="B59" s="71"/>
    </row>
    <row r="60" spans="1:17" s="55" customFormat="1" ht="12" customHeight="1">
      <c r="B60" s="71"/>
    </row>
    <row r="61" spans="1:17" s="55" customFormat="1" ht="12" customHeight="1">
      <c r="B61" s="71"/>
    </row>
    <row r="62" spans="1:17" s="55" customFormat="1" ht="12" customHeight="1">
      <c r="B62" s="71"/>
    </row>
    <row r="63" spans="1:17" s="55" customFormat="1" ht="12" customHeight="1">
      <c r="B63" s="71"/>
    </row>
    <row r="64" spans="1:17">
      <c r="B64" s="4"/>
    </row>
    <row r="65" spans="2:2">
      <c r="B65" s="4"/>
    </row>
    <row r="66" spans="2:2">
      <c r="B66" s="4"/>
    </row>
  </sheetData>
  <phoneticPr fontId="7" type="noConversion"/>
  <hyperlinks>
    <hyperlink ref="H1959" r:id="rId1" display="http://vsolj.cetus-net.org/bulletin.html" xr:uid="{00000000-0004-0000-0000-000000000000}"/>
    <hyperlink ref="H64944" r:id="rId2" display="http://vsolj.cetus-net.org/bulletin.html" xr:uid="{00000000-0004-0000-0000-000001000000}"/>
    <hyperlink ref="H64937" r:id="rId3" display="https://www.aavso.org/ejaavso" xr:uid="{00000000-0004-0000-0000-000002000000}"/>
    <hyperlink ref="AP1088" r:id="rId4" display="http://cdsbib.u-strasbg.fr/cgi-bin/cdsbib?1990RMxAA..21..381G" xr:uid="{00000000-0004-0000-0000-000003000000}"/>
    <hyperlink ref="AP1092" r:id="rId5" display="http://cdsbib.u-strasbg.fr/cgi-bin/cdsbib?1990RMxAA..21..381G" xr:uid="{00000000-0004-0000-0000-000004000000}"/>
    <hyperlink ref="AP1091" r:id="rId6" display="http://cdsbib.u-strasbg.fr/cgi-bin/cdsbib?1990RMxAA..21..381G" xr:uid="{00000000-0004-0000-0000-000005000000}"/>
    <hyperlink ref="AP1072" r:id="rId7" display="http://cdsbib.u-strasbg.fr/cgi-bin/cdsbib?1990RMxAA..21..381G" xr:uid="{00000000-0004-0000-0000-000006000000}"/>
    <hyperlink ref="I64944" r:id="rId8" display="http://vsolj.cetus-net.org/bulletin.html" xr:uid="{00000000-0004-0000-0000-000007000000}"/>
    <hyperlink ref="AQ1228" r:id="rId9" display="http://cdsbib.u-strasbg.fr/cgi-bin/cdsbib?1990RMxAA..21..381G" xr:uid="{00000000-0004-0000-0000-000008000000}"/>
    <hyperlink ref="AQ55994" r:id="rId10" display="http://cdsbib.u-strasbg.fr/cgi-bin/cdsbib?1990RMxAA..21..381G" xr:uid="{00000000-0004-0000-0000-000009000000}"/>
    <hyperlink ref="AQ1229" r:id="rId11" display="http://cdsbib.u-strasbg.fr/cgi-bin/cdsbib?1990RMxAA..21..381G" xr:uid="{00000000-0004-0000-0000-00000A000000}"/>
    <hyperlink ref="H64941" r:id="rId12" display="https://www.aavso.org/ejaavso" xr:uid="{00000000-0004-0000-0000-00000B000000}"/>
    <hyperlink ref="H2114" r:id="rId13" display="http://vsolj.cetus-net.org/bulletin.html" xr:uid="{00000000-0004-0000-0000-00000C000000}"/>
    <hyperlink ref="AP3358" r:id="rId14" display="http://cdsbib.u-strasbg.fr/cgi-bin/cdsbib?1990RMxAA..21..381G" xr:uid="{00000000-0004-0000-0000-00000D000000}"/>
    <hyperlink ref="AP3361" r:id="rId15" display="http://cdsbib.u-strasbg.fr/cgi-bin/cdsbib?1990RMxAA..21..381G" xr:uid="{00000000-0004-0000-0000-00000E000000}"/>
    <hyperlink ref="AP3359" r:id="rId16" display="http://cdsbib.u-strasbg.fr/cgi-bin/cdsbib?1990RMxAA..21..381G" xr:uid="{00000000-0004-0000-0000-00000F000000}"/>
    <hyperlink ref="AP3343" r:id="rId17" display="http://cdsbib.u-strasbg.fr/cgi-bin/cdsbib?1990RMxAA..21..381G" xr:uid="{00000000-0004-0000-0000-000010000000}"/>
    <hyperlink ref="I2114" r:id="rId18" display="http://vsolj.cetus-net.org/bulletin.html" xr:uid="{00000000-0004-0000-0000-000011000000}"/>
    <hyperlink ref="AQ3572" r:id="rId19" display="http://cdsbib.u-strasbg.fr/cgi-bin/cdsbib?1990RMxAA..21..381G" xr:uid="{00000000-0004-0000-0000-000012000000}"/>
    <hyperlink ref="AQ273" r:id="rId20" display="http://cdsbib.u-strasbg.fr/cgi-bin/cdsbib?1990RMxAA..21..381G" xr:uid="{00000000-0004-0000-0000-000013000000}"/>
    <hyperlink ref="AQ3576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9"/>
  <sheetViews>
    <sheetView topLeftCell="A11" workbookViewId="0">
      <selection activeCell="A23" sqref="A23:D39"/>
    </sheetView>
  </sheetViews>
  <sheetFormatPr defaultRowHeight="12.75"/>
  <cols>
    <col min="1" max="1" width="19.7109375" style="27" customWidth="1"/>
    <col min="2" max="2" width="4.42578125" style="11" customWidth="1"/>
    <col min="3" max="3" width="12.7109375" style="27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7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30" t="s">
        <v>56</v>
      </c>
      <c r="I1" s="31" t="s">
        <v>57</v>
      </c>
      <c r="J1" s="32" t="s">
        <v>58</v>
      </c>
    </row>
    <row r="2" spans="1:16">
      <c r="I2" s="33" t="s">
        <v>59</v>
      </c>
      <c r="J2" s="34" t="s">
        <v>60</v>
      </c>
    </row>
    <row r="3" spans="1:16">
      <c r="A3" s="35" t="s">
        <v>61</v>
      </c>
      <c r="I3" s="33" t="s">
        <v>62</v>
      </c>
      <c r="J3" s="34" t="s">
        <v>63</v>
      </c>
    </row>
    <row r="4" spans="1:16">
      <c r="I4" s="33" t="s">
        <v>64</v>
      </c>
      <c r="J4" s="34" t="s">
        <v>63</v>
      </c>
    </row>
    <row r="5" spans="1:16" ht="13.5" thickBot="1">
      <c r="I5" s="36" t="s">
        <v>65</v>
      </c>
      <c r="J5" s="37" t="s">
        <v>66</v>
      </c>
    </row>
    <row r="10" spans="1:16" ht="13.5" thickBot="1"/>
    <row r="11" spans="1:16" ht="12.75" customHeight="1" thickBot="1">
      <c r="A11" s="27" t="str">
        <f t="shared" ref="A11:A39" si="0">P11</f>
        <v> AAPS 46.365 </v>
      </c>
      <c r="B11" s="4" t="str">
        <f t="shared" ref="B11:B39" si="1">IF(H11=INT(H11),"I","II")</f>
        <v>I</v>
      </c>
      <c r="C11" s="27">
        <f t="shared" ref="C11:C39" si="2">1*G11</f>
        <v>44114.58</v>
      </c>
      <c r="D11" s="11" t="str">
        <f t="shared" ref="D11:D39" si="3">VLOOKUP(F11,I$1:J$5,2,FALSE)</f>
        <v>vis</v>
      </c>
      <c r="E11" s="38">
        <f>VLOOKUP(C11,Active!C$21:E$972,3,FALSE)</f>
        <v>0</v>
      </c>
      <c r="F11" s="4" t="s">
        <v>65</v>
      </c>
      <c r="G11" s="11" t="str">
        <f t="shared" ref="G11:G39" si="4">MID(I11,3,LEN(I11)-3)</f>
        <v>44114.580</v>
      </c>
      <c r="H11" s="27">
        <f t="shared" ref="H11:H39" si="5">1*K11</f>
        <v>0</v>
      </c>
      <c r="I11" s="39" t="s">
        <v>110</v>
      </c>
      <c r="J11" s="40" t="s">
        <v>111</v>
      </c>
      <c r="K11" s="39">
        <v>0</v>
      </c>
      <c r="L11" s="39" t="s">
        <v>79</v>
      </c>
      <c r="M11" s="40" t="s">
        <v>112</v>
      </c>
      <c r="N11" s="40" t="s">
        <v>113</v>
      </c>
      <c r="O11" s="41" t="s">
        <v>92</v>
      </c>
      <c r="P11" s="41" t="s">
        <v>114</v>
      </c>
    </row>
    <row r="12" spans="1:16" ht="12.75" customHeight="1" thickBot="1">
      <c r="A12" s="27" t="str">
        <f t="shared" si="0"/>
        <v> JAAVSO 41;122 </v>
      </c>
      <c r="B12" s="4" t="str">
        <f t="shared" si="1"/>
        <v>I</v>
      </c>
      <c r="C12" s="27">
        <f t="shared" si="2"/>
        <v>50686.692000000003</v>
      </c>
      <c r="D12" s="11" t="str">
        <f t="shared" si="3"/>
        <v>vis</v>
      </c>
      <c r="E12" s="38">
        <f>VLOOKUP(C12,Active!C$21:E$972,3,FALSE)</f>
        <v>3123.0091571701705</v>
      </c>
      <c r="F12" s="4" t="s">
        <v>65</v>
      </c>
      <c r="G12" s="11" t="str">
        <f t="shared" si="4"/>
        <v>50686.692</v>
      </c>
      <c r="H12" s="27">
        <f t="shared" si="5"/>
        <v>3123</v>
      </c>
      <c r="I12" s="39" t="s">
        <v>131</v>
      </c>
      <c r="J12" s="40" t="s">
        <v>132</v>
      </c>
      <c r="K12" s="39">
        <v>3123</v>
      </c>
      <c r="L12" s="39" t="s">
        <v>133</v>
      </c>
      <c r="M12" s="40" t="s">
        <v>118</v>
      </c>
      <c r="N12" s="40"/>
      <c r="O12" s="41" t="s">
        <v>134</v>
      </c>
      <c r="P12" s="41" t="s">
        <v>135</v>
      </c>
    </row>
    <row r="13" spans="1:16" ht="12.75" customHeight="1" thickBot="1">
      <c r="A13" s="27" t="str">
        <f t="shared" si="0"/>
        <v>BAVM 152 </v>
      </c>
      <c r="B13" s="4" t="str">
        <f t="shared" si="1"/>
        <v>I</v>
      </c>
      <c r="C13" s="27">
        <f t="shared" si="2"/>
        <v>51812.552300000003</v>
      </c>
      <c r="D13" s="11" t="str">
        <f t="shared" si="3"/>
        <v>vis</v>
      </c>
      <c r="E13" s="38">
        <f>VLOOKUP(C13,Active!C$21:E$972,3,FALSE)</f>
        <v>3658.0079561246553</v>
      </c>
      <c r="F13" s="4" t="s">
        <v>65</v>
      </c>
      <c r="G13" s="11" t="str">
        <f t="shared" si="4"/>
        <v>51812.5523</v>
      </c>
      <c r="H13" s="27">
        <f t="shared" si="5"/>
        <v>3658</v>
      </c>
      <c r="I13" s="39" t="s">
        <v>136</v>
      </c>
      <c r="J13" s="40" t="s">
        <v>137</v>
      </c>
      <c r="K13" s="39">
        <v>3658</v>
      </c>
      <c r="L13" s="39" t="s">
        <v>138</v>
      </c>
      <c r="M13" s="40" t="s">
        <v>112</v>
      </c>
      <c r="N13" s="40" t="s">
        <v>139</v>
      </c>
      <c r="O13" s="41" t="s">
        <v>140</v>
      </c>
      <c r="P13" s="42" t="s">
        <v>141</v>
      </c>
    </row>
    <row r="14" spans="1:16" ht="12.75" customHeight="1" thickBot="1">
      <c r="A14" s="27" t="str">
        <f t="shared" si="0"/>
        <v>IBVS 5583 </v>
      </c>
      <c r="B14" s="4" t="str">
        <f t="shared" si="1"/>
        <v>I</v>
      </c>
      <c r="C14" s="27">
        <f t="shared" si="2"/>
        <v>52860.559399999998</v>
      </c>
      <c r="D14" s="11" t="str">
        <f t="shared" si="3"/>
        <v>vis</v>
      </c>
      <c r="E14" s="38">
        <f>VLOOKUP(C14,Active!C$21:E$972,3,FALSE)</f>
        <v>4156.0116070179056</v>
      </c>
      <c r="F14" s="4" t="s">
        <v>65</v>
      </c>
      <c r="G14" s="11" t="str">
        <f t="shared" si="4"/>
        <v>52860.5594</v>
      </c>
      <c r="H14" s="27">
        <f t="shared" si="5"/>
        <v>4156</v>
      </c>
      <c r="I14" s="39" t="s">
        <v>142</v>
      </c>
      <c r="J14" s="40" t="s">
        <v>143</v>
      </c>
      <c r="K14" s="39">
        <v>4156</v>
      </c>
      <c r="L14" s="39" t="s">
        <v>144</v>
      </c>
      <c r="M14" s="40" t="s">
        <v>112</v>
      </c>
      <c r="N14" s="40" t="s">
        <v>113</v>
      </c>
      <c r="O14" s="41" t="s">
        <v>145</v>
      </c>
      <c r="P14" s="42" t="s">
        <v>146</v>
      </c>
    </row>
    <row r="15" spans="1:16" ht="12.75" customHeight="1" thickBot="1">
      <c r="A15" s="27" t="str">
        <f t="shared" si="0"/>
        <v>BAVM 178 </v>
      </c>
      <c r="B15" s="4" t="str">
        <f t="shared" si="1"/>
        <v>I</v>
      </c>
      <c r="C15" s="27">
        <f t="shared" si="2"/>
        <v>53544.496200000001</v>
      </c>
      <c r="D15" s="11" t="str">
        <f t="shared" si="3"/>
        <v>vis</v>
      </c>
      <c r="E15" s="38">
        <f>VLOOKUP(C15,Active!C$21:E$972,3,FALSE)</f>
        <v>4481.0122901051191</v>
      </c>
      <c r="F15" s="4" t="s">
        <v>65</v>
      </c>
      <c r="G15" s="11" t="str">
        <f t="shared" si="4"/>
        <v>53544.4962</v>
      </c>
      <c r="H15" s="27">
        <f t="shared" si="5"/>
        <v>4481</v>
      </c>
      <c r="I15" s="39" t="s">
        <v>147</v>
      </c>
      <c r="J15" s="40" t="s">
        <v>148</v>
      </c>
      <c r="K15" s="39">
        <v>4481</v>
      </c>
      <c r="L15" s="39" t="s">
        <v>149</v>
      </c>
      <c r="M15" s="40" t="s">
        <v>150</v>
      </c>
      <c r="N15" s="40" t="s">
        <v>151</v>
      </c>
      <c r="O15" s="41" t="s">
        <v>140</v>
      </c>
      <c r="P15" s="42" t="s">
        <v>152</v>
      </c>
    </row>
    <row r="16" spans="1:16" ht="12.75" customHeight="1" thickBot="1">
      <c r="A16" s="27" t="str">
        <f t="shared" si="0"/>
        <v>IBVS 5960 </v>
      </c>
      <c r="B16" s="4" t="str">
        <f t="shared" si="1"/>
        <v>I</v>
      </c>
      <c r="C16" s="27">
        <f t="shared" si="2"/>
        <v>55383.763599999998</v>
      </c>
      <c r="D16" s="11" t="str">
        <f t="shared" si="3"/>
        <v>vis</v>
      </c>
      <c r="E16" s="38">
        <f>VLOOKUP(C16,Active!C$21:E$972,3,FALSE)</f>
        <v>5355.0157965402741</v>
      </c>
      <c r="F16" s="4" t="s">
        <v>65</v>
      </c>
      <c r="G16" s="11" t="str">
        <f t="shared" si="4"/>
        <v>55383.7636</v>
      </c>
      <c r="H16" s="27">
        <f t="shared" si="5"/>
        <v>5355</v>
      </c>
      <c r="I16" s="39" t="s">
        <v>160</v>
      </c>
      <c r="J16" s="40" t="s">
        <v>161</v>
      </c>
      <c r="K16" s="39" t="s">
        <v>162</v>
      </c>
      <c r="L16" s="39" t="s">
        <v>163</v>
      </c>
      <c r="M16" s="40" t="s">
        <v>150</v>
      </c>
      <c r="N16" s="40" t="s">
        <v>65</v>
      </c>
      <c r="O16" s="41" t="s">
        <v>129</v>
      </c>
      <c r="P16" s="42" t="s">
        <v>164</v>
      </c>
    </row>
    <row r="17" spans="1:16" ht="12.75" customHeight="1" thickBot="1">
      <c r="A17" s="27" t="str">
        <f t="shared" si="0"/>
        <v>IBVS 5997 </v>
      </c>
      <c r="B17" s="4" t="str">
        <f t="shared" si="1"/>
        <v>I</v>
      </c>
      <c r="C17" s="27">
        <f t="shared" si="2"/>
        <v>55436.374100000001</v>
      </c>
      <c r="D17" s="11" t="str">
        <f t="shared" si="3"/>
        <v>vis</v>
      </c>
      <c r="E17" s="38">
        <f>VLOOKUP(C17,Active!C$21:E$972,3,FALSE)</f>
        <v>5380.0158381194969</v>
      </c>
      <c r="F17" s="4" t="s">
        <v>65</v>
      </c>
      <c r="G17" s="11" t="str">
        <f t="shared" si="4"/>
        <v>55436.3741</v>
      </c>
      <c r="H17" s="27">
        <f t="shared" si="5"/>
        <v>5380</v>
      </c>
      <c r="I17" s="39" t="s">
        <v>165</v>
      </c>
      <c r="J17" s="40" t="s">
        <v>166</v>
      </c>
      <c r="K17" s="39" t="s">
        <v>167</v>
      </c>
      <c r="L17" s="39" t="s">
        <v>168</v>
      </c>
      <c r="M17" s="40" t="s">
        <v>150</v>
      </c>
      <c r="N17" s="40" t="s">
        <v>35</v>
      </c>
      <c r="O17" s="41" t="s">
        <v>169</v>
      </c>
      <c r="P17" s="42" t="s">
        <v>170</v>
      </c>
    </row>
    <row r="18" spans="1:16" ht="12.75" customHeight="1" thickBot="1">
      <c r="A18" s="27" t="str">
        <f t="shared" si="0"/>
        <v>IBVS 6007 </v>
      </c>
      <c r="B18" s="4" t="str">
        <f t="shared" si="1"/>
        <v>I</v>
      </c>
      <c r="C18" s="27">
        <f t="shared" si="2"/>
        <v>55819.37283</v>
      </c>
      <c r="D18" s="11" t="str">
        <f t="shared" si="3"/>
        <v>vis</v>
      </c>
      <c r="E18" s="38">
        <f>VLOOKUP(C18,Active!C$21:E$972,3,FALSE)</f>
        <v>5562.0134274750262</v>
      </c>
      <c r="F18" s="4" t="s">
        <v>65</v>
      </c>
      <c r="G18" s="11" t="str">
        <f t="shared" si="4"/>
        <v>55819.37283</v>
      </c>
      <c r="H18" s="27">
        <f t="shared" si="5"/>
        <v>5562</v>
      </c>
      <c r="I18" s="39" t="s">
        <v>171</v>
      </c>
      <c r="J18" s="40" t="s">
        <v>172</v>
      </c>
      <c r="K18" s="39" t="s">
        <v>173</v>
      </c>
      <c r="L18" s="39" t="s">
        <v>174</v>
      </c>
      <c r="M18" s="40" t="s">
        <v>150</v>
      </c>
      <c r="N18" s="40" t="s">
        <v>157</v>
      </c>
      <c r="O18" s="41" t="s">
        <v>175</v>
      </c>
      <c r="P18" s="42" t="s">
        <v>176</v>
      </c>
    </row>
    <row r="19" spans="1:16" ht="12.75" customHeight="1" thickBot="1">
      <c r="A19" s="27" t="str">
        <f t="shared" si="0"/>
        <v>IBVS 6007 </v>
      </c>
      <c r="B19" s="4" t="str">
        <f t="shared" si="1"/>
        <v>II</v>
      </c>
      <c r="C19" s="27">
        <f t="shared" si="2"/>
        <v>55839.367319999998</v>
      </c>
      <c r="D19" s="11" t="str">
        <f t="shared" si="3"/>
        <v>vis</v>
      </c>
      <c r="E19" s="38">
        <f>VLOOKUP(C19,Active!C$21:E$972,3,FALSE)</f>
        <v>5571.5146312528886</v>
      </c>
      <c r="F19" s="4" t="s">
        <v>65</v>
      </c>
      <c r="G19" s="11" t="str">
        <f t="shared" si="4"/>
        <v>55839.36732</v>
      </c>
      <c r="H19" s="27">
        <f t="shared" si="5"/>
        <v>5571.5</v>
      </c>
      <c r="I19" s="39" t="s">
        <v>177</v>
      </c>
      <c r="J19" s="40" t="s">
        <v>178</v>
      </c>
      <c r="K19" s="39" t="s">
        <v>179</v>
      </c>
      <c r="L19" s="39" t="s">
        <v>180</v>
      </c>
      <c r="M19" s="40" t="s">
        <v>150</v>
      </c>
      <c r="N19" s="40" t="s">
        <v>57</v>
      </c>
      <c r="O19" s="41" t="s">
        <v>175</v>
      </c>
      <c r="P19" s="42" t="s">
        <v>176</v>
      </c>
    </row>
    <row r="20" spans="1:16" ht="12.75" customHeight="1" thickBot="1">
      <c r="A20" s="27" t="str">
        <f t="shared" si="0"/>
        <v>OEJV 0160 </v>
      </c>
      <c r="B20" s="4" t="str">
        <f t="shared" si="1"/>
        <v>I</v>
      </c>
      <c r="C20" s="27">
        <f t="shared" si="2"/>
        <v>56465.431879999996</v>
      </c>
      <c r="D20" s="11" t="str">
        <f t="shared" si="3"/>
        <v>vis</v>
      </c>
      <c r="E20" s="38">
        <f>VLOOKUP(C20,Active!C$21:E$972,3,FALSE)</f>
        <v>5869.0149407210947</v>
      </c>
      <c r="F20" s="4" t="s">
        <v>65</v>
      </c>
      <c r="G20" s="11" t="str">
        <f t="shared" si="4"/>
        <v>56465.43188</v>
      </c>
      <c r="H20" s="27">
        <f t="shared" si="5"/>
        <v>5869</v>
      </c>
      <c r="I20" s="39" t="s">
        <v>181</v>
      </c>
      <c r="J20" s="40" t="s">
        <v>182</v>
      </c>
      <c r="K20" s="39" t="s">
        <v>183</v>
      </c>
      <c r="L20" s="39" t="s">
        <v>184</v>
      </c>
      <c r="M20" s="40" t="s">
        <v>150</v>
      </c>
      <c r="N20" s="40" t="s">
        <v>57</v>
      </c>
      <c r="O20" s="41" t="s">
        <v>185</v>
      </c>
      <c r="P20" s="42" t="s">
        <v>186</v>
      </c>
    </row>
    <row r="21" spans="1:16" ht="12.75" customHeight="1" thickBot="1">
      <c r="A21" s="27" t="str">
        <f t="shared" si="0"/>
        <v>BAVM 239 </v>
      </c>
      <c r="B21" s="4" t="str">
        <f t="shared" si="1"/>
        <v>I</v>
      </c>
      <c r="C21" s="27">
        <f t="shared" si="2"/>
        <v>56907.363799999999</v>
      </c>
      <c r="D21" s="11" t="str">
        <f t="shared" si="3"/>
        <v>vis</v>
      </c>
      <c r="E21" s="38">
        <f>VLOOKUP(C21,Active!C$21:E$972,3,FALSE)</f>
        <v>6079.0170576974642</v>
      </c>
      <c r="F21" s="4" t="s">
        <v>65</v>
      </c>
      <c r="G21" s="11" t="str">
        <f t="shared" si="4"/>
        <v>56907.3638</v>
      </c>
      <c r="H21" s="27">
        <f t="shared" si="5"/>
        <v>6079</v>
      </c>
      <c r="I21" s="39" t="s">
        <v>187</v>
      </c>
      <c r="J21" s="40" t="s">
        <v>188</v>
      </c>
      <c r="K21" s="39" t="s">
        <v>189</v>
      </c>
      <c r="L21" s="39" t="s">
        <v>190</v>
      </c>
      <c r="M21" s="40" t="s">
        <v>150</v>
      </c>
      <c r="N21" s="40">
        <v>0</v>
      </c>
      <c r="O21" s="41" t="s">
        <v>140</v>
      </c>
      <c r="P21" s="42" t="s">
        <v>191</v>
      </c>
    </row>
    <row r="22" spans="1:16" ht="12.75" customHeight="1" thickBot="1">
      <c r="A22" s="27" t="str">
        <f t="shared" si="0"/>
        <v>BAVM 239 </v>
      </c>
      <c r="B22" s="4" t="str">
        <f t="shared" si="1"/>
        <v>II</v>
      </c>
      <c r="C22" s="27">
        <f t="shared" si="2"/>
        <v>56929.457000000002</v>
      </c>
      <c r="D22" s="11" t="str">
        <f t="shared" si="3"/>
        <v>vis</v>
      </c>
      <c r="E22" s="38">
        <f>VLOOKUP(C22,Active!C$21:E$972,3,FALSE)</f>
        <v>6089.5155497972955</v>
      </c>
      <c r="F22" s="4" t="s">
        <v>65</v>
      </c>
      <c r="G22" s="11" t="str">
        <f t="shared" si="4"/>
        <v>56929.4570</v>
      </c>
      <c r="H22" s="27">
        <f t="shared" si="5"/>
        <v>6089.5</v>
      </c>
      <c r="I22" s="39" t="s">
        <v>192</v>
      </c>
      <c r="J22" s="40" t="s">
        <v>193</v>
      </c>
      <c r="K22" s="39">
        <v>6089.5</v>
      </c>
      <c r="L22" s="39" t="s">
        <v>194</v>
      </c>
      <c r="M22" s="40" t="s">
        <v>150</v>
      </c>
      <c r="N22" s="40">
        <v>0</v>
      </c>
      <c r="O22" s="41" t="s">
        <v>140</v>
      </c>
      <c r="P22" s="42" t="s">
        <v>191</v>
      </c>
    </row>
    <row r="23" spans="1:16" ht="12.75" customHeight="1" thickBot="1">
      <c r="A23" s="27" t="str">
        <f t="shared" si="0"/>
        <v>IBVS 1066 </v>
      </c>
      <c r="B23" s="4" t="str">
        <f t="shared" si="1"/>
        <v>I</v>
      </c>
      <c r="C23" s="27">
        <f t="shared" si="2"/>
        <v>29598.291000000001</v>
      </c>
      <c r="D23" s="11" t="str">
        <f t="shared" si="3"/>
        <v>vis</v>
      </c>
      <c r="E23" s="38">
        <f>VLOOKUP(C23,Active!C$21:E$972,3,FALSE)</f>
        <v>-6898.0113965082483</v>
      </c>
      <c r="F23" s="4" t="s">
        <v>65</v>
      </c>
      <c r="G23" s="11" t="str">
        <f t="shared" si="4"/>
        <v>29598.291</v>
      </c>
      <c r="H23" s="27">
        <f t="shared" si="5"/>
        <v>-6898</v>
      </c>
      <c r="I23" s="39" t="s">
        <v>68</v>
      </c>
      <c r="J23" s="40" t="s">
        <v>69</v>
      </c>
      <c r="K23" s="39">
        <v>-6898</v>
      </c>
      <c r="L23" s="39" t="s">
        <v>70</v>
      </c>
      <c r="M23" s="40" t="s">
        <v>71</v>
      </c>
      <c r="N23" s="40"/>
      <c r="O23" s="41" t="s">
        <v>72</v>
      </c>
      <c r="P23" s="42" t="s">
        <v>73</v>
      </c>
    </row>
    <row r="24" spans="1:16" ht="12.75" customHeight="1" thickBot="1">
      <c r="A24" s="27" t="str">
        <f t="shared" si="0"/>
        <v>IBVS 1066 </v>
      </c>
      <c r="B24" s="4" t="str">
        <f t="shared" si="1"/>
        <v>I</v>
      </c>
      <c r="C24" s="27">
        <f t="shared" si="2"/>
        <v>30021.279999999999</v>
      </c>
      <c r="D24" s="11" t="str">
        <f t="shared" si="3"/>
        <v>vis</v>
      </c>
      <c r="E24" s="38">
        <f>VLOOKUP(C24,Active!C$21:E$972,3,FALSE)</f>
        <v>-6697.0107866004673</v>
      </c>
      <c r="F24" s="4" t="s">
        <v>65</v>
      </c>
      <c r="G24" s="11" t="str">
        <f t="shared" si="4"/>
        <v>30021.280</v>
      </c>
      <c r="H24" s="27">
        <f t="shared" si="5"/>
        <v>-6697</v>
      </c>
      <c r="I24" s="39" t="s">
        <v>74</v>
      </c>
      <c r="J24" s="40" t="s">
        <v>75</v>
      </c>
      <c r="K24" s="39">
        <v>-6697</v>
      </c>
      <c r="L24" s="39" t="s">
        <v>76</v>
      </c>
      <c r="M24" s="40" t="s">
        <v>71</v>
      </c>
      <c r="N24" s="40"/>
      <c r="O24" s="41" t="s">
        <v>72</v>
      </c>
      <c r="P24" s="42" t="s">
        <v>73</v>
      </c>
    </row>
    <row r="25" spans="1:16" ht="12.75" customHeight="1" thickBot="1">
      <c r="A25" s="27" t="str">
        <f t="shared" si="0"/>
        <v>IBVS 1066 </v>
      </c>
      <c r="B25" s="4" t="str">
        <f t="shared" si="1"/>
        <v>I</v>
      </c>
      <c r="C25" s="27">
        <f t="shared" si="2"/>
        <v>30591.599999999999</v>
      </c>
      <c r="D25" s="11" t="str">
        <f t="shared" si="3"/>
        <v>vis</v>
      </c>
      <c r="E25" s="38">
        <f>VLOOKUP(C25,Active!C$21:E$972,3,FALSE)</f>
        <v>-6425.9997961430172</v>
      </c>
      <c r="F25" s="4" t="s">
        <v>65</v>
      </c>
      <c r="G25" s="11" t="str">
        <f t="shared" si="4"/>
        <v>30591.600</v>
      </c>
      <c r="H25" s="27">
        <f t="shared" si="5"/>
        <v>-6426</v>
      </c>
      <c r="I25" s="39" t="s">
        <v>77</v>
      </c>
      <c r="J25" s="40" t="s">
        <v>78</v>
      </c>
      <c r="K25" s="39">
        <v>-6426</v>
      </c>
      <c r="L25" s="39" t="s">
        <v>79</v>
      </c>
      <c r="M25" s="40" t="s">
        <v>71</v>
      </c>
      <c r="N25" s="40"/>
      <c r="O25" s="41" t="s">
        <v>72</v>
      </c>
      <c r="P25" s="42" t="s">
        <v>73</v>
      </c>
    </row>
    <row r="26" spans="1:16" ht="12.75" customHeight="1" thickBot="1">
      <c r="A26" s="27" t="str">
        <f t="shared" si="0"/>
        <v>IBVS 1066 </v>
      </c>
      <c r="B26" s="4" t="str">
        <f t="shared" si="1"/>
        <v>I</v>
      </c>
      <c r="C26" s="27">
        <f t="shared" si="2"/>
        <v>30930.434000000001</v>
      </c>
      <c r="D26" s="11" t="str">
        <f t="shared" si="3"/>
        <v>vis</v>
      </c>
      <c r="E26" s="38">
        <f>VLOOKUP(C26,Active!C$21:E$972,3,FALSE)</f>
        <v>-6264.9888935959207</v>
      </c>
      <c r="F26" s="4" t="s">
        <v>65</v>
      </c>
      <c r="G26" s="11" t="str">
        <f t="shared" si="4"/>
        <v>30930.434</v>
      </c>
      <c r="H26" s="27">
        <f t="shared" si="5"/>
        <v>-6265</v>
      </c>
      <c r="I26" s="39" t="s">
        <v>80</v>
      </c>
      <c r="J26" s="40" t="s">
        <v>81</v>
      </c>
      <c r="K26" s="39">
        <v>-6265</v>
      </c>
      <c r="L26" s="39" t="s">
        <v>82</v>
      </c>
      <c r="M26" s="40" t="s">
        <v>71</v>
      </c>
      <c r="N26" s="40"/>
      <c r="O26" s="41" t="s">
        <v>72</v>
      </c>
      <c r="P26" s="42" t="s">
        <v>73</v>
      </c>
    </row>
    <row r="27" spans="1:16" ht="12.75" customHeight="1" thickBot="1">
      <c r="A27" s="27" t="str">
        <f t="shared" si="0"/>
        <v>IBVS 1066 </v>
      </c>
      <c r="B27" s="4" t="str">
        <f t="shared" si="1"/>
        <v>I</v>
      </c>
      <c r="C27" s="27">
        <f t="shared" si="2"/>
        <v>31029.316999999999</v>
      </c>
      <c r="D27" s="11" t="str">
        <f t="shared" si="3"/>
        <v>vis</v>
      </c>
      <c r="E27" s="38">
        <f>VLOOKUP(C27,Active!C$21:E$972,3,FALSE)</f>
        <v>-6218.0005716548994</v>
      </c>
      <c r="F27" s="4" t="s">
        <v>65</v>
      </c>
      <c r="G27" s="11" t="str">
        <f t="shared" si="4"/>
        <v>31029.317</v>
      </c>
      <c r="H27" s="27">
        <f t="shared" si="5"/>
        <v>-6218</v>
      </c>
      <c r="I27" s="39" t="s">
        <v>83</v>
      </c>
      <c r="J27" s="40" t="s">
        <v>84</v>
      </c>
      <c r="K27" s="39">
        <v>-6218</v>
      </c>
      <c r="L27" s="39" t="s">
        <v>85</v>
      </c>
      <c r="M27" s="40" t="s">
        <v>67</v>
      </c>
      <c r="N27" s="40"/>
      <c r="O27" s="41" t="s">
        <v>72</v>
      </c>
      <c r="P27" s="42" t="s">
        <v>73</v>
      </c>
    </row>
    <row r="28" spans="1:16" ht="12.75" customHeight="1" thickBot="1">
      <c r="A28" s="27" t="str">
        <f t="shared" si="0"/>
        <v>IBVS 1066 </v>
      </c>
      <c r="B28" s="4" t="str">
        <f t="shared" si="1"/>
        <v>I</v>
      </c>
      <c r="C28" s="27">
        <f t="shared" si="2"/>
        <v>32119.439999999999</v>
      </c>
      <c r="D28" s="11" t="str">
        <f t="shared" si="3"/>
        <v>vis</v>
      </c>
      <c r="E28" s="38">
        <f>VLOOKUP(C28,Active!C$21:E$972,3,FALSE)</f>
        <v>-5699.9838197429081</v>
      </c>
      <c r="F28" s="4" t="s">
        <v>65</v>
      </c>
      <c r="G28" s="11" t="str">
        <f t="shared" si="4"/>
        <v>32119.440</v>
      </c>
      <c r="H28" s="27">
        <f t="shared" si="5"/>
        <v>-5700</v>
      </c>
      <c r="I28" s="39" t="s">
        <v>86</v>
      </c>
      <c r="J28" s="40" t="s">
        <v>87</v>
      </c>
      <c r="K28" s="39">
        <v>-5700</v>
      </c>
      <c r="L28" s="39" t="s">
        <v>88</v>
      </c>
      <c r="M28" s="40" t="s">
        <v>71</v>
      </c>
      <c r="N28" s="40"/>
      <c r="O28" s="41" t="s">
        <v>72</v>
      </c>
      <c r="P28" s="42" t="s">
        <v>73</v>
      </c>
    </row>
    <row r="29" spans="1:16" ht="12.75" customHeight="1" thickBot="1">
      <c r="A29" s="27" t="str">
        <f t="shared" si="0"/>
        <v>IBVS 1066 </v>
      </c>
      <c r="B29" s="4" t="str">
        <f t="shared" si="1"/>
        <v>I</v>
      </c>
      <c r="C29" s="27">
        <f t="shared" si="2"/>
        <v>39533.267999999996</v>
      </c>
      <c r="D29" s="11" t="str">
        <f t="shared" si="3"/>
        <v>vis</v>
      </c>
      <c r="E29" s="38">
        <f>VLOOKUP(C29,Active!C$21:E$972,3,FALSE)</f>
        <v>-2176.9987072426038</v>
      </c>
      <c r="F29" s="4" t="s">
        <v>65</v>
      </c>
      <c r="G29" s="11" t="str">
        <f t="shared" si="4"/>
        <v>39533.268</v>
      </c>
      <c r="H29" s="27">
        <f t="shared" si="5"/>
        <v>-2177</v>
      </c>
      <c r="I29" s="39" t="s">
        <v>89</v>
      </c>
      <c r="J29" s="40" t="s">
        <v>90</v>
      </c>
      <c r="K29" s="39">
        <v>-2177</v>
      </c>
      <c r="L29" s="39" t="s">
        <v>91</v>
      </c>
      <c r="M29" s="40" t="s">
        <v>71</v>
      </c>
      <c r="N29" s="40"/>
      <c r="O29" s="41" t="s">
        <v>92</v>
      </c>
      <c r="P29" s="42" t="s">
        <v>73</v>
      </c>
    </row>
    <row r="30" spans="1:16" ht="12.75" customHeight="1" thickBot="1">
      <c r="A30" s="27" t="str">
        <f t="shared" si="0"/>
        <v>IBVS 1066 </v>
      </c>
      <c r="B30" s="4" t="str">
        <f t="shared" si="1"/>
        <v>I</v>
      </c>
      <c r="C30" s="27">
        <f t="shared" si="2"/>
        <v>40425.550999999999</v>
      </c>
      <c r="D30" s="11" t="str">
        <f t="shared" si="3"/>
        <v>vis</v>
      </c>
      <c r="E30" s="38">
        <f>VLOOKUP(C30,Active!C$21:E$972,3,FALSE)</f>
        <v>-1752.9937633543559</v>
      </c>
      <c r="F30" s="4" t="s">
        <v>65</v>
      </c>
      <c r="G30" s="11" t="str">
        <f t="shared" si="4"/>
        <v>40425.551</v>
      </c>
      <c r="H30" s="27">
        <f t="shared" si="5"/>
        <v>-1753</v>
      </c>
      <c r="I30" s="39" t="s">
        <v>93</v>
      </c>
      <c r="J30" s="40" t="s">
        <v>94</v>
      </c>
      <c r="K30" s="39">
        <v>-1753</v>
      </c>
      <c r="L30" s="39" t="s">
        <v>95</v>
      </c>
      <c r="M30" s="40" t="s">
        <v>71</v>
      </c>
      <c r="N30" s="40"/>
      <c r="O30" s="41" t="s">
        <v>92</v>
      </c>
      <c r="P30" s="42" t="s">
        <v>73</v>
      </c>
    </row>
    <row r="31" spans="1:16" ht="12.75" customHeight="1" thickBot="1">
      <c r="A31" s="27" t="str">
        <f t="shared" si="0"/>
        <v>IBVS 1066 </v>
      </c>
      <c r="B31" s="4" t="str">
        <f t="shared" si="1"/>
        <v>I</v>
      </c>
      <c r="C31" s="27">
        <f t="shared" si="2"/>
        <v>40444.525999999998</v>
      </c>
      <c r="D31" s="11" t="str">
        <f t="shared" si="3"/>
        <v>vis</v>
      </c>
      <c r="E31" s="38">
        <f>VLOOKUP(C31,Active!C$21:E$972,3,FALSE)</f>
        <v>-1743.9770121551526</v>
      </c>
      <c r="F31" s="4" t="s">
        <v>65</v>
      </c>
      <c r="G31" s="11" t="str">
        <f t="shared" si="4"/>
        <v>40444.526</v>
      </c>
      <c r="H31" s="27">
        <f t="shared" si="5"/>
        <v>-1744</v>
      </c>
      <c r="I31" s="39" t="s">
        <v>96</v>
      </c>
      <c r="J31" s="40" t="s">
        <v>97</v>
      </c>
      <c r="K31" s="39">
        <v>-1744</v>
      </c>
      <c r="L31" s="39" t="s">
        <v>98</v>
      </c>
      <c r="M31" s="40" t="s">
        <v>71</v>
      </c>
      <c r="N31" s="40"/>
      <c r="O31" s="41" t="s">
        <v>92</v>
      </c>
      <c r="P31" s="42" t="s">
        <v>73</v>
      </c>
    </row>
    <row r="32" spans="1:16" ht="12.75" customHeight="1" thickBot="1">
      <c r="A32" s="27" t="str">
        <f t="shared" si="0"/>
        <v>IBVS 1066 </v>
      </c>
      <c r="B32" s="4" t="str">
        <f t="shared" si="1"/>
        <v>I</v>
      </c>
      <c r="C32" s="27">
        <f t="shared" si="2"/>
        <v>41071.56</v>
      </c>
      <c r="D32" s="11" t="str">
        <f t="shared" si="3"/>
        <v>vis</v>
      </c>
      <c r="E32" s="38">
        <f>VLOOKUP(C32,Active!C$21:E$972,3,FALSE)</f>
        <v>-1446.0160334230434</v>
      </c>
      <c r="F32" s="4" t="s">
        <v>65</v>
      </c>
      <c r="G32" s="11" t="str">
        <f t="shared" si="4"/>
        <v>41071.560</v>
      </c>
      <c r="H32" s="27">
        <f t="shared" si="5"/>
        <v>-1446</v>
      </c>
      <c r="I32" s="39" t="s">
        <v>99</v>
      </c>
      <c r="J32" s="40" t="s">
        <v>100</v>
      </c>
      <c r="K32" s="39">
        <v>-1446</v>
      </c>
      <c r="L32" s="39" t="s">
        <v>101</v>
      </c>
      <c r="M32" s="40" t="s">
        <v>71</v>
      </c>
      <c r="N32" s="40"/>
      <c r="O32" s="41" t="s">
        <v>92</v>
      </c>
      <c r="P32" s="42" t="s">
        <v>73</v>
      </c>
    </row>
    <row r="33" spans="1:16" ht="12.75" customHeight="1" thickBot="1">
      <c r="A33" s="27" t="str">
        <f t="shared" si="0"/>
        <v>IBVS 1066 </v>
      </c>
      <c r="B33" s="4" t="str">
        <f t="shared" si="1"/>
        <v>I</v>
      </c>
      <c r="C33" s="27">
        <f t="shared" si="2"/>
        <v>41130.506000000001</v>
      </c>
      <c r="D33" s="11" t="str">
        <f t="shared" si="3"/>
        <v>vis</v>
      </c>
      <c r="E33" s="38">
        <f>VLOOKUP(C33,Active!C$21:E$972,3,FALSE)</f>
        <v>-1418.0054186041596</v>
      </c>
      <c r="F33" s="4" t="s">
        <v>65</v>
      </c>
      <c r="G33" s="11" t="str">
        <f t="shared" si="4"/>
        <v>41130.506</v>
      </c>
      <c r="H33" s="27">
        <f t="shared" si="5"/>
        <v>-1418</v>
      </c>
      <c r="I33" s="39" t="s">
        <v>102</v>
      </c>
      <c r="J33" s="40" t="s">
        <v>103</v>
      </c>
      <c r="K33" s="39">
        <v>-1418</v>
      </c>
      <c r="L33" s="39" t="s">
        <v>104</v>
      </c>
      <c r="M33" s="40" t="s">
        <v>71</v>
      </c>
      <c r="N33" s="40"/>
      <c r="O33" s="41" t="s">
        <v>92</v>
      </c>
      <c r="P33" s="42" t="s">
        <v>73</v>
      </c>
    </row>
    <row r="34" spans="1:16" ht="12.75" customHeight="1" thickBot="1">
      <c r="A34" s="27" t="str">
        <f t="shared" si="0"/>
        <v>IBVS 1066 </v>
      </c>
      <c r="B34" s="4" t="str">
        <f t="shared" si="1"/>
        <v>I</v>
      </c>
      <c r="C34" s="27">
        <f t="shared" si="2"/>
        <v>41149.491000000002</v>
      </c>
      <c r="D34" s="11" t="str">
        <f t="shared" si="3"/>
        <v>vis</v>
      </c>
      <c r="E34" s="38">
        <f>VLOOKUP(C34,Active!C$21:E$972,3,FALSE)</f>
        <v>-1408.9839154939148</v>
      </c>
      <c r="F34" s="4" t="s">
        <v>65</v>
      </c>
      <c r="G34" s="11" t="str">
        <f t="shared" si="4"/>
        <v>41149.491</v>
      </c>
      <c r="H34" s="27">
        <f t="shared" si="5"/>
        <v>-1409</v>
      </c>
      <c r="I34" s="39" t="s">
        <v>105</v>
      </c>
      <c r="J34" s="40" t="s">
        <v>106</v>
      </c>
      <c r="K34" s="39">
        <v>-1409</v>
      </c>
      <c r="L34" s="39" t="s">
        <v>88</v>
      </c>
      <c r="M34" s="40" t="s">
        <v>71</v>
      </c>
      <c r="N34" s="40"/>
      <c r="O34" s="41" t="s">
        <v>92</v>
      </c>
      <c r="P34" s="42" t="s">
        <v>73</v>
      </c>
    </row>
    <row r="35" spans="1:16" ht="12.75" customHeight="1" thickBot="1">
      <c r="A35" s="27" t="str">
        <f t="shared" si="0"/>
        <v>IBVS 1066 </v>
      </c>
      <c r="B35" s="4" t="str">
        <f t="shared" si="1"/>
        <v>I</v>
      </c>
      <c r="C35" s="27">
        <f t="shared" si="2"/>
        <v>41151.525999999998</v>
      </c>
      <c r="D35" s="11" t="str">
        <f t="shared" si="3"/>
        <v>vis</v>
      </c>
      <c r="E35" s="38">
        <f>VLOOKUP(C35,Active!C$21:E$972,3,FALSE)</f>
        <v>-1408.0169015971903</v>
      </c>
      <c r="F35" s="4" t="s">
        <v>65</v>
      </c>
      <c r="G35" s="11" t="str">
        <f t="shared" si="4"/>
        <v>41151.526</v>
      </c>
      <c r="H35" s="27">
        <f t="shared" si="5"/>
        <v>-1408</v>
      </c>
      <c r="I35" s="39" t="s">
        <v>107</v>
      </c>
      <c r="J35" s="40" t="s">
        <v>108</v>
      </c>
      <c r="K35" s="39">
        <v>-1408</v>
      </c>
      <c r="L35" s="39" t="s">
        <v>109</v>
      </c>
      <c r="M35" s="40" t="s">
        <v>71</v>
      </c>
      <c r="N35" s="40"/>
      <c r="O35" s="41" t="s">
        <v>92</v>
      </c>
      <c r="P35" s="42" t="s">
        <v>73</v>
      </c>
    </row>
    <row r="36" spans="1:16" ht="12.75" customHeight="1" thickBot="1">
      <c r="A36" s="27" t="str">
        <f t="shared" si="0"/>
        <v> VSSC 66.36 </v>
      </c>
      <c r="B36" s="4" t="str">
        <f t="shared" si="1"/>
        <v>I</v>
      </c>
      <c r="C36" s="27">
        <f t="shared" si="2"/>
        <v>46488.383999999998</v>
      </c>
      <c r="D36" s="11" t="str">
        <f t="shared" si="3"/>
        <v>vis</v>
      </c>
      <c r="E36" s="38">
        <f>VLOOKUP(C36,Active!C$21:E$972,3,FALSE)</f>
        <v>1128.0105435402147</v>
      </c>
      <c r="F36" s="4" t="s">
        <v>65</v>
      </c>
      <c r="G36" s="11" t="str">
        <f t="shared" si="4"/>
        <v>46488.384</v>
      </c>
      <c r="H36" s="27">
        <f t="shared" si="5"/>
        <v>1128</v>
      </c>
      <c r="I36" s="39" t="s">
        <v>115</v>
      </c>
      <c r="J36" s="40" t="s">
        <v>116</v>
      </c>
      <c r="K36" s="39">
        <v>1128</v>
      </c>
      <c r="L36" s="39" t="s">
        <v>117</v>
      </c>
      <c r="M36" s="40" t="s">
        <v>118</v>
      </c>
      <c r="N36" s="40"/>
      <c r="O36" s="41" t="s">
        <v>119</v>
      </c>
      <c r="P36" s="41" t="s">
        <v>120</v>
      </c>
    </row>
    <row r="37" spans="1:16" ht="12.75" customHeight="1" thickBot="1">
      <c r="A37" s="27" t="str">
        <f t="shared" si="0"/>
        <v>BAVM 50 </v>
      </c>
      <c r="B37" s="4" t="str">
        <f t="shared" si="1"/>
        <v>II</v>
      </c>
      <c r="C37" s="27">
        <f t="shared" si="2"/>
        <v>46769.313000000002</v>
      </c>
      <c r="D37" s="11" t="str">
        <f t="shared" si="3"/>
        <v>vis</v>
      </c>
      <c r="E37" s="38">
        <f>VLOOKUP(C37,Active!C$21:E$972,3,FALSE)</f>
        <v>1261.505505207738</v>
      </c>
      <c r="F37" s="4" t="s">
        <v>65</v>
      </c>
      <c r="G37" s="11" t="str">
        <f t="shared" si="4"/>
        <v>46769.313</v>
      </c>
      <c r="H37" s="27">
        <f t="shared" si="5"/>
        <v>1261.5</v>
      </c>
      <c r="I37" s="39" t="s">
        <v>121</v>
      </c>
      <c r="J37" s="40" t="s">
        <v>122</v>
      </c>
      <c r="K37" s="39">
        <v>1261.5</v>
      </c>
      <c r="L37" s="39" t="s">
        <v>123</v>
      </c>
      <c r="M37" s="40" t="s">
        <v>67</v>
      </c>
      <c r="N37" s="40"/>
      <c r="O37" s="41" t="s">
        <v>124</v>
      </c>
      <c r="P37" s="42" t="s">
        <v>125</v>
      </c>
    </row>
    <row r="38" spans="1:16" ht="12.75" customHeight="1" thickBot="1">
      <c r="A38" s="27" t="str">
        <f t="shared" si="0"/>
        <v> BBS 103 </v>
      </c>
      <c r="B38" s="4" t="str">
        <f t="shared" si="1"/>
        <v>I</v>
      </c>
      <c r="C38" s="27">
        <f t="shared" si="2"/>
        <v>48986.308900000004</v>
      </c>
      <c r="D38" s="11" t="str">
        <f t="shared" si="3"/>
        <v>vis</v>
      </c>
      <c r="E38" s="38">
        <f>VLOOKUP(C38,Active!C$21:E$972,3,FALSE)</f>
        <v>2315.0022345861676</v>
      </c>
      <c r="F38" s="4" t="s">
        <v>65</v>
      </c>
      <c r="G38" s="11" t="str">
        <f t="shared" si="4"/>
        <v>48986.3089</v>
      </c>
      <c r="H38" s="27">
        <f t="shared" si="5"/>
        <v>2315</v>
      </c>
      <c r="I38" s="39" t="s">
        <v>126</v>
      </c>
      <c r="J38" s="40" t="s">
        <v>127</v>
      </c>
      <c r="K38" s="39">
        <v>2315</v>
      </c>
      <c r="L38" s="39" t="s">
        <v>128</v>
      </c>
      <c r="M38" s="40" t="s">
        <v>112</v>
      </c>
      <c r="N38" s="40" t="s">
        <v>33</v>
      </c>
      <c r="O38" s="41" t="s">
        <v>129</v>
      </c>
      <c r="P38" s="41" t="s">
        <v>130</v>
      </c>
    </row>
    <row r="39" spans="1:16" ht="12.75" customHeight="1" thickBot="1">
      <c r="A39" s="27" t="str">
        <f t="shared" si="0"/>
        <v>OEJV 0107 </v>
      </c>
      <c r="B39" s="4" t="str">
        <f t="shared" si="1"/>
        <v>II</v>
      </c>
      <c r="C39" s="27">
        <f t="shared" si="2"/>
        <v>54789.2644</v>
      </c>
      <c r="D39" s="11" t="str">
        <f t="shared" si="3"/>
        <v>vis</v>
      </c>
      <c r="E39" s="38" t="e">
        <f>VLOOKUP(C39,Active!C$21:E$972,3,FALSE)</f>
        <v>#N/A</v>
      </c>
      <c r="F39" s="4" t="s">
        <v>65</v>
      </c>
      <c r="G39" s="11" t="str">
        <f t="shared" si="4"/>
        <v>54789.2644</v>
      </c>
      <c r="H39" s="27">
        <f t="shared" si="5"/>
        <v>5072.5</v>
      </c>
      <c r="I39" s="39" t="s">
        <v>153</v>
      </c>
      <c r="J39" s="40" t="s">
        <v>154</v>
      </c>
      <c r="K39" s="39" t="s">
        <v>155</v>
      </c>
      <c r="L39" s="39" t="s">
        <v>156</v>
      </c>
      <c r="M39" s="40" t="s">
        <v>150</v>
      </c>
      <c r="N39" s="40" t="s">
        <v>157</v>
      </c>
      <c r="O39" s="41" t="s">
        <v>158</v>
      </c>
      <c r="P39" s="42" t="s">
        <v>159</v>
      </c>
    </row>
    <row r="40" spans="1:16">
      <c r="B40" s="4"/>
      <c r="F40" s="4"/>
    </row>
    <row r="41" spans="1:16">
      <c r="B41" s="4"/>
      <c r="F41" s="4"/>
    </row>
    <row r="42" spans="1:16">
      <c r="B42" s="4"/>
      <c r="F42" s="4"/>
    </row>
    <row r="43" spans="1:16">
      <c r="B43" s="4"/>
      <c r="F43" s="4"/>
    </row>
    <row r="44" spans="1:16">
      <c r="B44" s="4"/>
      <c r="F44" s="4"/>
    </row>
    <row r="45" spans="1:16">
      <c r="B45" s="4"/>
      <c r="F45" s="4"/>
    </row>
    <row r="46" spans="1:16">
      <c r="B46" s="4"/>
      <c r="F46" s="4"/>
    </row>
    <row r="47" spans="1:16">
      <c r="B47" s="4"/>
      <c r="F47" s="4"/>
    </row>
    <row r="48" spans="1:16">
      <c r="B48" s="4"/>
      <c r="F48" s="4"/>
    </row>
    <row r="49" spans="2:6">
      <c r="B49" s="4"/>
      <c r="F49" s="4"/>
    </row>
    <row r="50" spans="2:6">
      <c r="B50" s="4"/>
      <c r="F50" s="4"/>
    </row>
    <row r="51" spans="2:6">
      <c r="B51" s="4"/>
      <c r="F51" s="4"/>
    </row>
    <row r="52" spans="2:6">
      <c r="B52" s="4"/>
      <c r="F52" s="4"/>
    </row>
    <row r="53" spans="2:6">
      <c r="B53" s="4"/>
      <c r="F53" s="4"/>
    </row>
    <row r="54" spans="2:6">
      <c r="B54" s="4"/>
      <c r="F54" s="4"/>
    </row>
    <row r="55" spans="2:6">
      <c r="B55" s="4"/>
      <c r="F55" s="4"/>
    </row>
    <row r="56" spans="2:6">
      <c r="B56" s="4"/>
      <c r="F56" s="4"/>
    </row>
    <row r="57" spans="2:6">
      <c r="B57" s="4"/>
      <c r="F57" s="4"/>
    </row>
    <row r="58" spans="2:6">
      <c r="B58" s="4"/>
      <c r="F58" s="4"/>
    </row>
    <row r="59" spans="2:6">
      <c r="B59" s="4"/>
      <c r="F59" s="4"/>
    </row>
    <row r="60" spans="2:6">
      <c r="B60" s="4"/>
      <c r="F60" s="4"/>
    </row>
    <row r="61" spans="2:6">
      <c r="B61" s="4"/>
      <c r="F61" s="4"/>
    </row>
    <row r="62" spans="2:6">
      <c r="B62" s="4"/>
      <c r="F62" s="4"/>
    </row>
    <row r="63" spans="2:6">
      <c r="B63" s="4"/>
      <c r="F63" s="4"/>
    </row>
    <row r="64" spans="2:6">
      <c r="B64" s="4"/>
      <c r="F64" s="4"/>
    </row>
    <row r="65" spans="2:6">
      <c r="B65" s="4"/>
      <c r="F65" s="4"/>
    </row>
    <row r="66" spans="2:6">
      <c r="B66" s="4"/>
      <c r="F66" s="4"/>
    </row>
    <row r="67" spans="2:6">
      <c r="B67" s="4"/>
      <c r="F67" s="4"/>
    </row>
    <row r="68" spans="2:6">
      <c r="B68" s="4"/>
      <c r="F68" s="4"/>
    </row>
    <row r="69" spans="2:6">
      <c r="B69" s="4"/>
      <c r="F69" s="4"/>
    </row>
    <row r="70" spans="2:6">
      <c r="B70" s="4"/>
      <c r="F70" s="4"/>
    </row>
    <row r="71" spans="2:6">
      <c r="B71" s="4"/>
      <c r="F71" s="4"/>
    </row>
    <row r="72" spans="2:6">
      <c r="B72" s="4"/>
      <c r="F72" s="4"/>
    </row>
    <row r="73" spans="2:6">
      <c r="B73" s="4"/>
      <c r="F73" s="4"/>
    </row>
    <row r="74" spans="2:6">
      <c r="B74" s="4"/>
      <c r="F74" s="4"/>
    </row>
    <row r="75" spans="2:6">
      <c r="B75" s="4"/>
      <c r="F75" s="4"/>
    </row>
    <row r="76" spans="2:6">
      <c r="B76" s="4"/>
      <c r="F76" s="4"/>
    </row>
    <row r="77" spans="2:6">
      <c r="B77" s="4"/>
      <c r="F77" s="4"/>
    </row>
    <row r="78" spans="2:6">
      <c r="B78" s="4"/>
      <c r="F78" s="4"/>
    </row>
    <row r="79" spans="2:6">
      <c r="B79" s="4"/>
      <c r="F79" s="4"/>
    </row>
    <row r="80" spans="2:6">
      <c r="B80" s="4"/>
      <c r="F80" s="4"/>
    </row>
    <row r="81" spans="2:6">
      <c r="B81" s="4"/>
      <c r="F81" s="4"/>
    </row>
    <row r="82" spans="2:6">
      <c r="B82" s="4"/>
      <c r="F82" s="4"/>
    </row>
    <row r="83" spans="2:6">
      <c r="B83" s="4"/>
      <c r="F83" s="4"/>
    </row>
    <row r="84" spans="2:6">
      <c r="B84" s="4"/>
      <c r="F84" s="4"/>
    </row>
    <row r="85" spans="2:6">
      <c r="B85" s="4"/>
      <c r="F85" s="4"/>
    </row>
    <row r="86" spans="2:6">
      <c r="B86" s="4"/>
      <c r="F86" s="4"/>
    </row>
    <row r="87" spans="2:6">
      <c r="B87" s="4"/>
      <c r="F87" s="4"/>
    </row>
    <row r="88" spans="2:6">
      <c r="B88" s="4"/>
      <c r="F88" s="4"/>
    </row>
    <row r="89" spans="2:6">
      <c r="B89" s="4"/>
      <c r="F89" s="4"/>
    </row>
    <row r="90" spans="2:6">
      <c r="B90" s="4"/>
      <c r="F90" s="4"/>
    </row>
    <row r="91" spans="2:6">
      <c r="B91" s="4"/>
      <c r="F91" s="4"/>
    </row>
    <row r="92" spans="2:6">
      <c r="B92" s="4"/>
      <c r="F92" s="4"/>
    </row>
    <row r="93" spans="2:6">
      <c r="B93" s="4"/>
      <c r="F93" s="4"/>
    </row>
    <row r="94" spans="2:6">
      <c r="B94" s="4"/>
      <c r="F94" s="4"/>
    </row>
    <row r="95" spans="2:6">
      <c r="B95" s="4"/>
      <c r="F95" s="4"/>
    </row>
    <row r="96" spans="2: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</sheetData>
  <phoneticPr fontId="7" type="noConversion"/>
  <hyperlinks>
    <hyperlink ref="P23" r:id="rId1" display="http://www.konkoly.hu/cgi-bin/IBVS?1066" xr:uid="{00000000-0004-0000-0100-000000000000}"/>
    <hyperlink ref="P24" r:id="rId2" display="http://www.konkoly.hu/cgi-bin/IBVS?1066" xr:uid="{00000000-0004-0000-0100-000001000000}"/>
    <hyperlink ref="P25" r:id="rId3" display="http://www.konkoly.hu/cgi-bin/IBVS?1066" xr:uid="{00000000-0004-0000-0100-000002000000}"/>
    <hyperlink ref="P26" r:id="rId4" display="http://www.konkoly.hu/cgi-bin/IBVS?1066" xr:uid="{00000000-0004-0000-0100-000003000000}"/>
    <hyperlink ref="P27" r:id="rId5" display="http://www.konkoly.hu/cgi-bin/IBVS?1066" xr:uid="{00000000-0004-0000-0100-000004000000}"/>
    <hyperlink ref="P28" r:id="rId6" display="http://www.konkoly.hu/cgi-bin/IBVS?1066" xr:uid="{00000000-0004-0000-0100-000005000000}"/>
    <hyperlink ref="P29" r:id="rId7" display="http://www.konkoly.hu/cgi-bin/IBVS?1066" xr:uid="{00000000-0004-0000-0100-000006000000}"/>
    <hyperlink ref="P30" r:id="rId8" display="http://www.konkoly.hu/cgi-bin/IBVS?1066" xr:uid="{00000000-0004-0000-0100-000007000000}"/>
    <hyperlink ref="P31" r:id="rId9" display="http://www.konkoly.hu/cgi-bin/IBVS?1066" xr:uid="{00000000-0004-0000-0100-000008000000}"/>
    <hyperlink ref="P32" r:id="rId10" display="http://www.konkoly.hu/cgi-bin/IBVS?1066" xr:uid="{00000000-0004-0000-0100-000009000000}"/>
    <hyperlink ref="P33" r:id="rId11" display="http://www.konkoly.hu/cgi-bin/IBVS?1066" xr:uid="{00000000-0004-0000-0100-00000A000000}"/>
    <hyperlink ref="P34" r:id="rId12" display="http://www.konkoly.hu/cgi-bin/IBVS?1066" xr:uid="{00000000-0004-0000-0100-00000B000000}"/>
    <hyperlink ref="P35" r:id="rId13" display="http://www.konkoly.hu/cgi-bin/IBVS?1066" xr:uid="{00000000-0004-0000-0100-00000C000000}"/>
    <hyperlink ref="P37" r:id="rId14" display="http://www.bav-astro.de/sfs/BAVM_link.php?BAVMnr=50" xr:uid="{00000000-0004-0000-0100-00000D000000}"/>
    <hyperlink ref="P13" r:id="rId15" display="http://www.bav-astro.de/sfs/BAVM_link.php?BAVMnr=152" xr:uid="{00000000-0004-0000-0100-00000E000000}"/>
    <hyperlink ref="P14" r:id="rId16" display="http://www.konkoly.hu/cgi-bin/IBVS?5583" xr:uid="{00000000-0004-0000-0100-00000F000000}"/>
    <hyperlink ref="P15" r:id="rId17" display="http://www.bav-astro.de/sfs/BAVM_link.php?BAVMnr=178" xr:uid="{00000000-0004-0000-0100-000010000000}"/>
    <hyperlink ref="P39" r:id="rId18" display="http://var.astro.cz/oejv/issues/oejv0107.pdf" xr:uid="{00000000-0004-0000-0100-000011000000}"/>
    <hyperlink ref="P16" r:id="rId19" display="http://www.konkoly.hu/cgi-bin/IBVS?5960" xr:uid="{00000000-0004-0000-0100-000012000000}"/>
    <hyperlink ref="P17" r:id="rId20" display="http://www.konkoly.hu/cgi-bin/IBVS?5997" xr:uid="{00000000-0004-0000-0100-000013000000}"/>
    <hyperlink ref="P18" r:id="rId21" display="http://www.konkoly.hu/cgi-bin/IBVS?6007" xr:uid="{00000000-0004-0000-0100-000014000000}"/>
    <hyperlink ref="P19" r:id="rId22" display="http://www.konkoly.hu/cgi-bin/IBVS?6007" xr:uid="{00000000-0004-0000-0100-000015000000}"/>
    <hyperlink ref="P20" r:id="rId23" display="http://var.astro.cz/oejv/issues/oejv0160.pdf" xr:uid="{00000000-0004-0000-0100-000016000000}"/>
    <hyperlink ref="P21" r:id="rId24" display="http://www.bav-astro.de/sfs/BAVM_link.php?BAVMnr=239" xr:uid="{00000000-0004-0000-0100-000017000000}"/>
    <hyperlink ref="P22" r:id="rId25" display="http://www.bav-astro.de/sfs/BAVM_link.php?BAVMnr=239" xr:uid="{00000000-0004-0000-0100-000018000000}"/>
  </hyperlinks>
  <pageMargins left="0.75" right="0.75" top="1" bottom="1" header="0.5" footer="0.5"/>
  <pageSetup orientation="portrait" horizontalDpi="300" verticalDpi="300" r:id="rId2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2023-08-06T23:47:57Z</dcterms:modified>
</cp:coreProperties>
</file>