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17086A1-BD2F-426D-890C-E35F96493603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28" i="2" l="1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C9" i="1"/>
  <c r="D9" i="1"/>
  <c r="E23" i="1"/>
  <c r="F23" i="1"/>
  <c r="G23" i="1" s="1"/>
  <c r="K23" i="1" s="1"/>
  <c r="E24" i="1"/>
  <c r="F24" i="1"/>
  <c r="G24" i="1" s="1"/>
  <c r="K24" i="1" s="1"/>
  <c r="Q41" i="1"/>
  <c r="Q42" i="1"/>
  <c r="Q40" i="1"/>
  <c r="F16" i="1"/>
  <c r="F17" i="1" s="1"/>
  <c r="C17" i="1"/>
  <c r="Q21" i="1"/>
  <c r="Q22" i="1"/>
  <c r="Q23" i="1"/>
  <c r="Q24" i="1"/>
  <c r="E42" i="1"/>
  <c r="F42" i="1"/>
  <c r="G42" i="1"/>
  <c r="J42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25" i="1"/>
  <c r="E24" i="2"/>
  <c r="E27" i="2"/>
  <c r="E28" i="2"/>
  <c r="E21" i="1"/>
  <c r="F21" i="1"/>
  <c r="G21" i="1"/>
  <c r="K21" i="1" s="1"/>
  <c r="E25" i="1"/>
  <c r="E11" i="2" s="1"/>
  <c r="F25" i="1"/>
  <c r="G25" i="1" s="1"/>
  <c r="K25" i="1" s="1"/>
  <c r="E27" i="1"/>
  <c r="F27" i="1" s="1"/>
  <c r="G27" i="1" s="1"/>
  <c r="K27" i="1" s="1"/>
  <c r="E29" i="1"/>
  <c r="F29" i="1"/>
  <c r="G29" i="1" s="1"/>
  <c r="K29" i="1" s="1"/>
  <c r="E31" i="1"/>
  <c r="F31" i="1" s="1"/>
  <c r="G31" i="1" s="1"/>
  <c r="K31" i="1" s="1"/>
  <c r="E33" i="1"/>
  <c r="F33" i="1"/>
  <c r="G33" i="1" s="1"/>
  <c r="K33" i="1" s="1"/>
  <c r="E35" i="1"/>
  <c r="F35" i="1" s="1"/>
  <c r="G35" i="1" s="1"/>
  <c r="K35" i="1" s="1"/>
  <c r="E37" i="1"/>
  <c r="F37" i="1"/>
  <c r="G37" i="1" s="1"/>
  <c r="K37" i="1" s="1"/>
  <c r="E39" i="1"/>
  <c r="F39" i="1" s="1"/>
  <c r="G39" i="1" s="1"/>
  <c r="K39" i="1" s="1"/>
  <c r="E41" i="1"/>
  <c r="F41" i="1"/>
  <c r="G41" i="1" s="1"/>
  <c r="J41" i="1" s="1"/>
  <c r="G32" i="1"/>
  <c r="K32" i="1" s="1"/>
  <c r="E22" i="1"/>
  <c r="F22" i="1"/>
  <c r="G22" i="1" s="1"/>
  <c r="K22" i="1" s="1"/>
  <c r="E26" i="1"/>
  <c r="F26" i="1" s="1"/>
  <c r="G26" i="1" s="1"/>
  <c r="K26" i="1" s="1"/>
  <c r="E28" i="1"/>
  <c r="E14" i="2" s="1"/>
  <c r="F28" i="1"/>
  <c r="G28" i="1" s="1"/>
  <c r="K28" i="1" s="1"/>
  <c r="E30" i="1"/>
  <c r="F30" i="1" s="1"/>
  <c r="G30" i="1" s="1"/>
  <c r="K30" i="1" s="1"/>
  <c r="E32" i="1"/>
  <c r="E18" i="2" s="1"/>
  <c r="F32" i="1"/>
  <c r="E34" i="1"/>
  <c r="F34" i="1"/>
  <c r="G34" i="1"/>
  <c r="K34" i="1" s="1"/>
  <c r="E36" i="1"/>
  <c r="F36" i="1"/>
  <c r="G36" i="1"/>
  <c r="K36" i="1"/>
  <c r="E38" i="1"/>
  <c r="F38" i="1"/>
  <c r="G38" i="1"/>
  <c r="K38" i="1" s="1"/>
  <c r="E40" i="1"/>
  <c r="F40" i="1"/>
  <c r="G40" i="1"/>
  <c r="J40" i="1"/>
  <c r="E19" i="2"/>
  <c r="E16" i="2"/>
  <c r="E22" i="2"/>
  <c r="E26" i="2"/>
  <c r="E23" i="2"/>
  <c r="E15" i="2"/>
  <c r="E20" i="2"/>
  <c r="E13" i="2"/>
  <c r="C11" i="1"/>
  <c r="C12" i="1"/>
  <c r="E12" i="2" l="1"/>
  <c r="E17" i="2"/>
  <c r="E21" i="2"/>
  <c r="E25" i="2"/>
  <c r="C16" i="1"/>
  <c r="D18" i="1" s="1"/>
  <c r="O30" i="1"/>
  <c r="O39" i="1"/>
  <c r="O32" i="1"/>
  <c r="C15" i="1"/>
  <c r="O29" i="1"/>
  <c r="O38" i="1"/>
  <c r="O41" i="1"/>
  <c r="O42" i="1"/>
  <c r="O26" i="1"/>
  <c r="O35" i="1"/>
  <c r="O34" i="1"/>
  <c r="O22" i="1"/>
  <c r="O23" i="1"/>
  <c r="O24" i="1"/>
  <c r="O33" i="1"/>
  <c r="O40" i="1"/>
  <c r="O21" i="1"/>
  <c r="O36" i="1"/>
  <c r="O37" i="1"/>
  <c r="O27" i="1"/>
  <c r="O31" i="1"/>
  <c r="O25" i="1"/>
  <c r="O28" i="1"/>
  <c r="C18" i="1" l="1"/>
  <c r="F18" i="1"/>
  <c r="F19" i="1" s="1"/>
</calcChain>
</file>

<file path=xl/sharedStrings.xml><?xml version="1.0" encoding="utf-8"?>
<sst xmlns="http://schemas.openxmlformats.org/spreadsheetml/2006/main" count="267" uniqueCount="123">
  <si>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</si>
  <si>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</si>
  <si>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</si>
  <si>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</si>
  <si>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</si>
  <si>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</si>
  <si>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</si>
  <si>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</si>
  <si>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</si>
  <si>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</si>
  <si>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</si>
  <si>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</si>
  <si>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</si>
  <si>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</si>
  <si>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</si>
  <si>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</si>
  <si>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</si>
  <si>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</si>
  <si>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</si>
  <si>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</si>
  <si>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</si>
  <si>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</si>
  <si>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</si>
  <si>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</si>
  <si>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</si>
  <si>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</si>
  <si>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</si>
  <si>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</si>
  <si>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</si>
  <si>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</si>
  <si>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</si>
  <si>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</si>
  <si>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</si>
  <si>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V0711 Cep / GSC 4282-0394</t>
  </si>
  <si>
    <t>EA</t>
  </si>
  <si>
    <t>OEJV 0074</t>
  </si>
  <si>
    <t>I</t>
  </si>
  <si>
    <t>II</t>
  </si>
  <si>
    <t>IBVS 4923</t>
  </si>
  <si>
    <t>IBVS 4923 Eph.</t>
  </si>
  <si>
    <t>Add cycle</t>
  </si>
  <si>
    <t>Old Cycle</t>
  </si>
  <si>
    <t>IBVS 6010</t>
  </si>
  <si>
    <t>IBVS 6070</t>
  </si>
  <si>
    <t>IBVS 6084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</si>
  <si>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</si>
  <si>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</si>
  <si>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</si>
  <si>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</si>
  <si>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</si>
  <si>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</si>
  <si>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</si>
  <si>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</si>
  <si>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</si>
  <si>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</si>
  <si>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</si>
  <si>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2453974.55158 </t>
  </si>
  <si>
    <t> 27.08.2006 01:14 </t>
  </si>
  <si>
    <t> -0.00290 </t>
  </si>
  <si>
    <t>C </t>
  </si>
  <si>
    <t>B</t>
  </si>
  <si>
    <t> P.Svoboda </t>
  </si>
  <si>
    <t>OEJV 0074 </t>
  </si>
  <si>
    <t>2453974.55366 </t>
  </si>
  <si>
    <t> 27.08.2006 01:17 </t>
  </si>
  <si>
    <t> -0.00082 </t>
  </si>
  <si>
    <t>2453974.55436 </t>
  </si>
  <si>
    <t> 27.08.2006 01:18 </t>
  </si>
  <si>
    <t> -0.00012 </t>
  </si>
  <si>
    <t>R</t>
  </si>
  <si>
    <t>2453989.55420 </t>
  </si>
  <si>
    <t> 11.09.2006 01:18 </t>
  </si>
  <si>
    <t> -0.00039 </t>
  </si>
  <si>
    <t>2453989.55629 </t>
  </si>
  <si>
    <t> 11.09.2006 01:21 </t>
  </si>
  <si>
    <t> 0.00170 </t>
  </si>
  <si>
    <t>2453989.55698 </t>
  </si>
  <si>
    <t> 11.09.2006 01:22 </t>
  </si>
  <si>
    <t> 0.00239 </t>
  </si>
  <si>
    <t>2453991.50566 </t>
  </si>
  <si>
    <t> 13.09.2006 00:08 </t>
  </si>
  <si>
    <t> -0.00546 </t>
  </si>
  <si>
    <t>2453991.50913 </t>
  </si>
  <si>
    <t> 13.09.2006 00:13 </t>
  </si>
  <si>
    <t> -0.00199 </t>
  </si>
  <si>
    <t>2453991.51052 </t>
  </si>
  <si>
    <t> 13.09.2006 00:15 </t>
  </si>
  <si>
    <t> -0.00060 </t>
  </si>
  <si>
    <t>2454034.54736 </t>
  </si>
  <si>
    <t> 26.10.2006 01:08 </t>
  </si>
  <si>
    <t> -0.00754 </t>
  </si>
  <si>
    <t>2454034.55014 </t>
  </si>
  <si>
    <t> 26.10.2006 01:12 </t>
  </si>
  <si>
    <t> -0.00476 </t>
  </si>
  <si>
    <t>2454034.55709 </t>
  </si>
  <si>
    <t> 26.10.2006 01:22 </t>
  </si>
  <si>
    <t> 0.00219 </t>
  </si>
  <si>
    <t>2454205.42550 </t>
  </si>
  <si>
    <t> 14.04.2007 22:12 </t>
  </si>
  <si>
    <t> -0.00014 </t>
  </si>
  <si>
    <t>2454205.42670 </t>
  </si>
  <si>
    <t> 14.04.2007 22:14 </t>
  </si>
  <si>
    <t> 0.00106 </t>
  </si>
  <si>
    <t>2454205.42770 </t>
  </si>
  <si>
    <t> 14.04.2007 22:15 </t>
  </si>
  <si>
    <t> 0.00206 </t>
  </si>
  <si>
    <t>2455645.4386 </t>
  </si>
  <si>
    <t> 24.03.2011 22:31 </t>
  </si>
  <si>
    <t> 0.0031 </t>
  </si>
  <si>
    <t> F.Agerer </t>
  </si>
  <si>
    <t>BAVM 220 </t>
  </si>
  <si>
    <t>2456219.3518 </t>
  </si>
  <si>
    <t> 18.10.2012 20:26 </t>
  </si>
  <si>
    <t> -0.0007 </t>
  </si>
  <si>
    <t>-I</t>
  </si>
  <si>
    <t>BAVM 231 </t>
  </si>
  <si>
    <t>2456485.4484 </t>
  </si>
  <si>
    <t> 11.07.2013 22:45 </t>
  </si>
  <si>
    <t>3055</t>
  </si>
  <si>
    <t> 0.0071 </t>
  </si>
  <si>
    <t>BAVM 232 </t>
  </si>
  <si>
    <t>vis / CCD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</si>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</sst>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0" fillId="0" borderId="5" xfId="0" applyBorder="1" applyAlignment="1"/>
    <xf numFmtId="0" fontId="0" fillId="0" borderId="6" xfId="0" applyBorder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0" fillId="2" borderId="0" xfId="0" applyFont="1" applyFill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7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3" borderId="13" xfId="0" applyFont="1" applyFill="1" applyBorder="1" applyAlignment="1">
      <alignment horizontal="left" vertical="top" wrapText="1" indent="1"/>
    </xf>
    <xf numFmtId="0" fontId="5" fillId="3" borderId="13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right" vertical="top" wrapText="1"/>
    </xf>
    <xf numFmtId="0" fontId="17" fillId="3" borderId="13" xfId="7" applyFill="1" applyBorder="1" applyAlignment="1" applyProtection="1">
      <alignment horizontal="right" vertical="top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/>
    <xf numFmtId="14" fontId="18" fillId="0" borderId="0" xfId="0" applyNumberFormat="1" applyFont="1" applyAlignment="1"/>
    <xf numFmtId="165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horizontal="lef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V0711 Cep - O-C Diagr.</a:t>
            </a:r>
          </a:p>
        </c:rich>
      </c:tx>
      <c:layout>
        <c:manualLayout>
          <c:xMode val="edge"/>
          <c:yMode val="edge"/>
          <c:x val="0.37293233082706767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117667333506626"/>
          <c:w val="0.83308270676691731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-1.5</c:v>
                </c:pt>
                <c:pt idx="1">
                  <c:v>1.5</c:v>
                </c:pt>
                <c:pt idx="2">
                  <c:v>3</c:v>
                </c:pt>
                <c:pt idx="3">
                  <c:v>29</c:v>
                </c:pt>
                <c:pt idx="4">
                  <c:v>2254</c:v>
                </c:pt>
                <c:pt idx="5">
                  <c:v>2254</c:v>
                </c:pt>
                <c:pt idx="6">
                  <c:v>2254</c:v>
                </c:pt>
                <c:pt idx="7">
                  <c:v>2265.5</c:v>
                </c:pt>
                <c:pt idx="8">
                  <c:v>2265.5</c:v>
                </c:pt>
                <c:pt idx="9">
                  <c:v>2265.5</c:v>
                </c:pt>
                <c:pt idx="10">
                  <c:v>2267</c:v>
                </c:pt>
                <c:pt idx="11">
                  <c:v>2267</c:v>
                </c:pt>
                <c:pt idx="12">
                  <c:v>2267</c:v>
                </c:pt>
                <c:pt idx="13">
                  <c:v>2300</c:v>
                </c:pt>
                <c:pt idx="14">
                  <c:v>2300</c:v>
                </c:pt>
                <c:pt idx="15">
                  <c:v>2300</c:v>
                </c:pt>
                <c:pt idx="16">
                  <c:v>2431</c:v>
                </c:pt>
                <c:pt idx="17">
                  <c:v>2431</c:v>
                </c:pt>
                <c:pt idx="18">
                  <c:v>2431</c:v>
                </c:pt>
                <c:pt idx="19">
                  <c:v>3535</c:v>
                </c:pt>
                <c:pt idx="20">
                  <c:v>3975</c:v>
                </c:pt>
                <c:pt idx="21">
                  <c:v>4179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17-48F1-970E-3136B0ECEE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-1.5</c:v>
                </c:pt>
                <c:pt idx="1">
                  <c:v>1.5</c:v>
                </c:pt>
                <c:pt idx="2">
                  <c:v>3</c:v>
                </c:pt>
                <c:pt idx="3">
                  <c:v>29</c:v>
                </c:pt>
                <c:pt idx="4">
                  <c:v>2254</c:v>
                </c:pt>
                <c:pt idx="5">
                  <c:v>2254</c:v>
                </c:pt>
                <c:pt idx="6">
                  <c:v>2254</c:v>
                </c:pt>
                <c:pt idx="7">
                  <c:v>2265.5</c:v>
                </c:pt>
                <c:pt idx="8">
                  <c:v>2265.5</c:v>
                </c:pt>
                <c:pt idx="9">
                  <c:v>2265.5</c:v>
                </c:pt>
                <c:pt idx="10">
                  <c:v>2267</c:v>
                </c:pt>
                <c:pt idx="11">
                  <c:v>2267</c:v>
                </c:pt>
                <c:pt idx="12">
                  <c:v>2267</c:v>
                </c:pt>
                <c:pt idx="13">
                  <c:v>2300</c:v>
                </c:pt>
                <c:pt idx="14">
                  <c:v>2300</c:v>
                </c:pt>
                <c:pt idx="15">
                  <c:v>2300</c:v>
                </c:pt>
                <c:pt idx="16">
                  <c:v>2431</c:v>
                </c:pt>
                <c:pt idx="17">
                  <c:v>2431</c:v>
                </c:pt>
                <c:pt idx="18">
                  <c:v>2431</c:v>
                </c:pt>
                <c:pt idx="19">
                  <c:v>3535</c:v>
                </c:pt>
                <c:pt idx="20">
                  <c:v>3975</c:v>
                </c:pt>
                <c:pt idx="21">
                  <c:v>4179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17-48F1-970E-3136B0ECEE8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-1.5</c:v>
                </c:pt>
                <c:pt idx="1">
                  <c:v>1.5</c:v>
                </c:pt>
                <c:pt idx="2">
                  <c:v>3</c:v>
                </c:pt>
                <c:pt idx="3">
                  <c:v>29</c:v>
                </c:pt>
                <c:pt idx="4">
                  <c:v>2254</c:v>
                </c:pt>
                <c:pt idx="5">
                  <c:v>2254</c:v>
                </c:pt>
                <c:pt idx="6">
                  <c:v>2254</c:v>
                </c:pt>
                <c:pt idx="7">
                  <c:v>2265.5</c:v>
                </c:pt>
                <c:pt idx="8">
                  <c:v>2265.5</c:v>
                </c:pt>
                <c:pt idx="9">
                  <c:v>2265.5</c:v>
                </c:pt>
                <c:pt idx="10">
                  <c:v>2267</c:v>
                </c:pt>
                <c:pt idx="11">
                  <c:v>2267</c:v>
                </c:pt>
                <c:pt idx="12">
                  <c:v>2267</c:v>
                </c:pt>
                <c:pt idx="13">
                  <c:v>2300</c:v>
                </c:pt>
                <c:pt idx="14">
                  <c:v>2300</c:v>
                </c:pt>
                <c:pt idx="15">
                  <c:v>2300</c:v>
                </c:pt>
                <c:pt idx="16">
                  <c:v>2431</c:v>
                </c:pt>
                <c:pt idx="17">
                  <c:v>2431</c:v>
                </c:pt>
                <c:pt idx="18">
                  <c:v>2431</c:v>
                </c:pt>
                <c:pt idx="19">
                  <c:v>3535</c:v>
                </c:pt>
                <c:pt idx="20">
                  <c:v>3975</c:v>
                </c:pt>
                <c:pt idx="21">
                  <c:v>4179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19">
                  <c:v>-0.50329999999667052</c:v>
                </c:pt>
                <c:pt idx="20">
                  <c:v>-0.57009999999718275</c:v>
                </c:pt>
                <c:pt idx="21">
                  <c:v>-0.59149999999499414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17-48F1-970E-3136B0ECEE8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-1.5</c:v>
                </c:pt>
                <c:pt idx="1">
                  <c:v>1.5</c:v>
                </c:pt>
                <c:pt idx="2">
                  <c:v>3</c:v>
                </c:pt>
                <c:pt idx="3">
                  <c:v>29</c:v>
                </c:pt>
                <c:pt idx="4">
                  <c:v>2254</c:v>
                </c:pt>
                <c:pt idx="5">
                  <c:v>2254</c:v>
                </c:pt>
                <c:pt idx="6">
                  <c:v>2254</c:v>
                </c:pt>
                <c:pt idx="7">
                  <c:v>2265.5</c:v>
                </c:pt>
                <c:pt idx="8">
                  <c:v>2265.5</c:v>
                </c:pt>
                <c:pt idx="9">
                  <c:v>2265.5</c:v>
                </c:pt>
                <c:pt idx="10">
                  <c:v>2267</c:v>
                </c:pt>
                <c:pt idx="11">
                  <c:v>2267</c:v>
                </c:pt>
                <c:pt idx="12">
                  <c:v>2267</c:v>
                </c:pt>
                <c:pt idx="13">
                  <c:v>2300</c:v>
                </c:pt>
                <c:pt idx="14">
                  <c:v>2300</c:v>
                </c:pt>
                <c:pt idx="15">
                  <c:v>2300</c:v>
                </c:pt>
                <c:pt idx="16">
                  <c:v>2431</c:v>
                </c:pt>
                <c:pt idx="17">
                  <c:v>2431</c:v>
                </c:pt>
                <c:pt idx="18">
                  <c:v>2431</c:v>
                </c:pt>
                <c:pt idx="19">
                  <c:v>3535</c:v>
                </c:pt>
                <c:pt idx="20">
                  <c:v>3975</c:v>
                </c:pt>
                <c:pt idx="21">
                  <c:v>4179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-8.4999999671708792E-4</c:v>
                </c:pt>
                <c:pt idx="1">
                  <c:v>6.5000000904547051E-4</c:v>
                </c:pt>
                <c:pt idx="2">
                  <c:v>-5.0000000192085281E-4</c:v>
                </c:pt>
                <c:pt idx="3">
                  <c:v>-2.799999994749669E-3</c:v>
                </c:pt>
                <c:pt idx="4">
                  <c:v>-0.32581999999820255</c:v>
                </c:pt>
                <c:pt idx="5">
                  <c:v>-0.32373999999981606</c:v>
                </c:pt>
                <c:pt idx="6">
                  <c:v>-0.32303999999567168</c:v>
                </c:pt>
                <c:pt idx="7">
                  <c:v>-0.32494999999471474</c:v>
                </c:pt>
                <c:pt idx="8">
                  <c:v>-0.3228599999929429</c:v>
                </c:pt>
                <c:pt idx="9">
                  <c:v>-0.32216999999218388</c:v>
                </c:pt>
                <c:pt idx="10">
                  <c:v>-0.33023999999568332</c:v>
                </c:pt>
                <c:pt idx="11">
                  <c:v>-0.32676999999966938</c:v>
                </c:pt>
                <c:pt idx="12">
                  <c:v>-0.32537999999476597</c:v>
                </c:pt>
                <c:pt idx="13">
                  <c:v>-0.33703999999852385</c:v>
                </c:pt>
                <c:pt idx="14">
                  <c:v>-0.33425999999599298</c:v>
                </c:pt>
                <c:pt idx="15">
                  <c:v>-0.32730999999330379</c:v>
                </c:pt>
                <c:pt idx="16">
                  <c:v>-0.34840000000258442</c:v>
                </c:pt>
                <c:pt idx="17">
                  <c:v>-0.34719999999651918</c:v>
                </c:pt>
                <c:pt idx="18">
                  <c:v>-0.34619999999995343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17-48F1-970E-3136B0ECEE8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-1.5</c:v>
                </c:pt>
                <c:pt idx="1">
                  <c:v>1.5</c:v>
                </c:pt>
                <c:pt idx="2">
                  <c:v>3</c:v>
                </c:pt>
                <c:pt idx="3">
                  <c:v>29</c:v>
                </c:pt>
                <c:pt idx="4">
                  <c:v>2254</c:v>
                </c:pt>
                <c:pt idx="5">
                  <c:v>2254</c:v>
                </c:pt>
                <c:pt idx="6">
                  <c:v>2254</c:v>
                </c:pt>
                <c:pt idx="7">
                  <c:v>2265.5</c:v>
                </c:pt>
                <c:pt idx="8">
                  <c:v>2265.5</c:v>
                </c:pt>
                <c:pt idx="9">
                  <c:v>2265.5</c:v>
                </c:pt>
                <c:pt idx="10">
                  <c:v>2267</c:v>
                </c:pt>
                <c:pt idx="11">
                  <c:v>2267</c:v>
                </c:pt>
                <c:pt idx="12">
                  <c:v>2267</c:v>
                </c:pt>
                <c:pt idx="13">
                  <c:v>2300</c:v>
                </c:pt>
                <c:pt idx="14">
                  <c:v>2300</c:v>
                </c:pt>
                <c:pt idx="15">
                  <c:v>2300</c:v>
                </c:pt>
                <c:pt idx="16">
                  <c:v>2431</c:v>
                </c:pt>
                <c:pt idx="17">
                  <c:v>2431</c:v>
                </c:pt>
                <c:pt idx="18">
                  <c:v>2431</c:v>
                </c:pt>
                <c:pt idx="19">
                  <c:v>3535</c:v>
                </c:pt>
                <c:pt idx="20">
                  <c:v>3975</c:v>
                </c:pt>
                <c:pt idx="21">
                  <c:v>4179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17-48F1-970E-3136B0ECEE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-1.5</c:v>
                </c:pt>
                <c:pt idx="1">
                  <c:v>1.5</c:v>
                </c:pt>
                <c:pt idx="2">
                  <c:v>3</c:v>
                </c:pt>
                <c:pt idx="3">
                  <c:v>29</c:v>
                </c:pt>
                <c:pt idx="4">
                  <c:v>2254</c:v>
                </c:pt>
                <c:pt idx="5">
                  <c:v>2254</c:v>
                </c:pt>
                <c:pt idx="6">
                  <c:v>2254</c:v>
                </c:pt>
                <c:pt idx="7">
                  <c:v>2265.5</c:v>
                </c:pt>
                <c:pt idx="8">
                  <c:v>2265.5</c:v>
                </c:pt>
                <c:pt idx="9">
                  <c:v>2265.5</c:v>
                </c:pt>
                <c:pt idx="10">
                  <c:v>2267</c:v>
                </c:pt>
                <c:pt idx="11">
                  <c:v>2267</c:v>
                </c:pt>
                <c:pt idx="12">
                  <c:v>2267</c:v>
                </c:pt>
                <c:pt idx="13">
                  <c:v>2300</c:v>
                </c:pt>
                <c:pt idx="14">
                  <c:v>2300</c:v>
                </c:pt>
                <c:pt idx="15">
                  <c:v>2300</c:v>
                </c:pt>
                <c:pt idx="16">
                  <c:v>2431</c:v>
                </c:pt>
                <c:pt idx="17">
                  <c:v>2431</c:v>
                </c:pt>
                <c:pt idx="18">
                  <c:v>2431</c:v>
                </c:pt>
                <c:pt idx="19">
                  <c:v>3535</c:v>
                </c:pt>
                <c:pt idx="20">
                  <c:v>3975</c:v>
                </c:pt>
                <c:pt idx="21">
                  <c:v>4179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17-48F1-970E-3136B0ECEE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-1.5</c:v>
                </c:pt>
                <c:pt idx="1">
                  <c:v>1.5</c:v>
                </c:pt>
                <c:pt idx="2">
                  <c:v>3</c:v>
                </c:pt>
                <c:pt idx="3">
                  <c:v>29</c:v>
                </c:pt>
                <c:pt idx="4">
                  <c:v>2254</c:v>
                </c:pt>
                <c:pt idx="5">
                  <c:v>2254</c:v>
                </c:pt>
                <c:pt idx="6">
                  <c:v>2254</c:v>
                </c:pt>
                <c:pt idx="7">
                  <c:v>2265.5</c:v>
                </c:pt>
                <c:pt idx="8">
                  <c:v>2265.5</c:v>
                </c:pt>
                <c:pt idx="9">
                  <c:v>2265.5</c:v>
                </c:pt>
                <c:pt idx="10">
                  <c:v>2267</c:v>
                </c:pt>
                <c:pt idx="11">
                  <c:v>2267</c:v>
                </c:pt>
                <c:pt idx="12">
                  <c:v>2267</c:v>
                </c:pt>
                <c:pt idx="13">
                  <c:v>2300</c:v>
                </c:pt>
                <c:pt idx="14">
                  <c:v>2300</c:v>
                </c:pt>
                <c:pt idx="15">
                  <c:v>2300</c:v>
                </c:pt>
                <c:pt idx="16">
                  <c:v>2431</c:v>
                </c:pt>
                <c:pt idx="17">
                  <c:v>2431</c:v>
                </c:pt>
                <c:pt idx="18">
                  <c:v>2431</c:v>
                </c:pt>
                <c:pt idx="19">
                  <c:v>3535</c:v>
                </c:pt>
                <c:pt idx="20">
                  <c:v>3975</c:v>
                </c:pt>
                <c:pt idx="21">
                  <c:v>4179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17-48F1-970E-3136B0ECEE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-1.5</c:v>
                </c:pt>
                <c:pt idx="1">
                  <c:v>1.5</c:v>
                </c:pt>
                <c:pt idx="2">
                  <c:v>3</c:v>
                </c:pt>
                <c:pt idx="3">
                  <c:v>29</c:v>
                </c:pt>
                <c:pt idx="4">
                  <c:v>2254</c:v>
                </c:pt>
                <c:pt idx="5">
                  <c:v>2254</c:v>
                </c:pt>
                <c:pt idx="6">
                  <c:v>2254</c:v>
                </c:pt>
                <c:pt idx="7">
                  <c:v>2265.5</c:v>
                </c:pt>
                <c:pt idx="8">
                  <c:v>2265.5</c:v>
                </c:pt>
                <c:pt idx="9">
                  <c:v>2265.5</c:v>
                </c:pt>
                <c:pt idx="10">
                  <c:v>2267</c:v>
                </c:pt>
                <c:pt idx="11">
                  <c:v>2267</c:v>
                </c:pt>
                <c:pt idx="12">
                  <c:v>2267</c:v>
                </c:pt>
                <c:pt idx="13">
                  <c:v>2300</c:v>
                </c:pt>
                <c:pt idx="14">
                  <c:v>2300</c:v>
                </c:pt>
                <c:pt idx="15">
                  <c:v>2300</c:v>
                </c:pt>
                <c:pt idx="16">
                  <c:v>2431</c:v>
                </c:pt>
                <c:pt idx="17">
                  <c:v>2431</c:v>
                </c:pt>
                <c:pt idx="18">
                  <c:v>2431</c:v>
                </c:pt>
                <c:pt idx="19">
                  <c:v>3535</c:v>
                </c:pt>
                <c:pt idx="20">
                  <c:v>3975</c:v>
                </c:pt>
                <c:pt idx="21">
                  <c:v>4179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-1.0171227907548931E-3</c:v>
                </c:pt>
                <c:pt idx="1">
                  <c:v>-1.4454473217728136E-3</c:v>
                </c:pt>
                <c:pt idx="2">
                  <c:v>-1.6596095872817738E-3</c:v>
                </c:pt>
                <c:pt idx="3">
                  <c:v>-5.371755522770417E-3</c:v>
                </c:pt>
                <c:pt idx="4">
                  <c:v>-0.32304578269439471</c:v>
                </c:pt>
                <c:pt idx="5">
                  <c:v>-0.32304578269439471</c:v>
                </c:pt>
                <c:pt idx="6">
                  <c:v>-0.32304578269439471</c:v>
                </c:pt>
                <c:pt idx="7">
                  <c:v>-0.32468769339663006</c:v>
                </c:pt>
                <c:pt idx="8">
                  <c:v>-0.32468769339663006</c:v>
                </c:pt>
                <c:pt idx="9">
                  <c:v>-0.32468769339663006</c:v>
                </c:pt>
                <c:pt idx="10">
                  <c:v>-0.32490185566213903</c:v>
                </c:pt>
                <c:pt idx="11">
                  <c:v>-0.32490185566213903</c:v>
                </c:pt>
                <c:pt idx="12">
                  <c:v>-0.32490185566213903</c:v>
                </c:pt>
                <c:pt idx="13">
                  <c:v>-0.32961342550333617</c:v>
                </c:pt>
                <c:pt idx="14">
                  <c:v>-0.32961342550333617</c:v>
                </c:pt>
                <c:pt idx="15">
                  <c:v>-0.32961342550333617</c:v>
                </c:pt>
                <c:pt idx="16">
                  <c:v>-0.34831693002445202</c:v>
                </c:pt>
                <c:pt idx="17">
                  <c:v>-0.34831693002445202</c:v>
                </c:pt>
                <c:pt idx="18">
                  <c:v>-0.34831693002445202</c:v>
                </c:pt>
                <c:pt idx="19">
                  <c:v>-0.50594035743904664</c:v>
                </c:pt>
                <c:pt idx="20">
                  <c:v>-0.56876128865500841</c:v>
                </c:pt>
                <c:pt idx="21">
                  <c:v>-0.59788735676422688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17-48F1-970E-3136B0ECE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878128"/>
        <c:axId val="1"/>
      </c:scatterChart>
      <c:valAx>
        <c:axId val="624878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4878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53064690443099"/>
          <c:w val="0.6285714285714285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BD23CE-326C-7787-ED88-1CD52ABB4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bav-astro.de/sfs/BAVM_link.php?BAVMnr=232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var.astro.cz/oejv/issues/oejv0074.pdf" TargetMode="External"/><Relationship Id="rId10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7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1406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33</v>
      </c>
    </row>
    <row r="2" spans="1:6" x14ac:dyDescent="0.2">
      <c r="A2" t="s">
        <v>22</v>
      </c>
      <c r="B2" t="s">
        <v>34</v>
      </c>
      <c r="C2" s="3"/>
      <c r="D2" s="3"/>
    </row>
    <row r="3" spans="1:6" ht="13.5" thickBot="1" x14ac:dyDescent="0.25"/>
    <row r="4" spans="1:6" ht="13.5" thickBot="1" x14ac:dyDescent="0.25">
      <c r="A4" s="5" t="s">
        <v>39</v>
      </c>
      <c r="C4" s="26">
        <v>51034.534399999997</v>
      </c>
      <c r="D4" s="27">
        <v>1.3045</v>
      </c>
    </row>
    <row r="5" spans="1:6" x14ac:dyDescent="0.2">
      <c r="A5" s="9" t="s">
        <v>27</v>
      </c>
      <c r="B5" s="10"/>
      <c r="C5" s="11">
        <v>-9.5</v>
      </c>
      <c r="D5" s="10" t="s">
        <v>28</v>
      </c>
    </row>
    <row r="6" spans="1:6" x14ac:dyDescent="0.2">
      <c r="A6" s="5" t="s">
        <v>0</v>
      </c>
    </row>
    <row r="7" spans="1:6" x14ac:dyDescent="0.2">
      <c r="A7" t="s">
        <v>1</v>
      </c>
      <c r="C7" s="28">
        <v>51034.534399999997</v>
      </c>
    </row>
    <row r="8" spans="1:6" x14ac:dyDescent="0.2">
      <c r="A8" t="s">
        <v>2</v>
      </c>
      <c r="C8" s="29">
        <v>1.3045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18</v>
      </c>
      <c r="D10" s="4" t="s">
        <v>19</v>
      </c>
      <c r="E10" s="10"/>
    </row>
    <row r="11" spans="1:6" x14ac:dyDescent="0.2">
      <c r="A11" s="10" t="s">
        <v>14</v>
      </c>
      <c r="B11" s="10"/>
      <c r="C11" s="21">
        <f ca="1">INTERCEPT(INDIRECT($D$9):G992,INDIRECT($C$9):F992)</f>
        <v>-1.2312850562638533E-3</v>
      </c>
      <c r="D11" s="3"/>
      <c r="E11" s="10"/>
    </row>
    <row r="12" spans="1:6" x14ac:dyDescent="0.2">
      <c r="A12" s="10" t="s">
        <v>15</v>
      </c>
      <c r="B12" s="10"/>
      <c r="C12" s="21">
        <f ca="1">SLOPE(INDIRECT($D$9):G992,INDIRECT($C$9):F992)</f>
        <v>-1.4277484367264013E-4</v>
      </c>
      <c r="D12" s="3"/>
      <c r="E12" s="10"/>
    </row>
    <row r="13" spans="1:6" x14ac:dyDescent="0.2">
      <c r="A13" s="10" t="s">
        <v>17</v>
      </c>
      <c r="B13" s="10"/>
      <c r="C13" s="3" t="s">
        <v>12</v>
      </c>
    </row>
    <row r="14" spans="1:6" x14ac:dyDescent="0.2">
      <c r="A14" s="10"/>
      <c r="B14" s="10"/>
      <c r="C14" s="10"/>
    </row>
    <row r="15" spans="1:6" x14ac:dyDescent="0.2">
      <c r="A15" s="12" t="s">
        <v>16</v>
      </c>
      <c r="B15" s="10"/>
      <c r="C15" s="13">
        <f ca="1">(C7+C11)+(C8+C12)*INT(MAX(F21:F3533))</f>
        <v>56485.442012643231</v>
      </c>
      <c r="E15" s="14" t="s">
        <v>40</v>
      </c>
      <c r="F15" s="11">
        <v>1</v>
      </c>
    </row>
    <row r="16" spans="1:6" x14ac:dyDescent="0.2">
      <c r="A16" s="16" t="s">
        <v>3</v>
      </c>
      <c r="B16" s="10"/>
      <c r="C16" s="17">
        <f ca="1">+C8+C12</f>
        <v>1.3043572251563273</v>
      </c>
      <c r="E16" s="14" t="s">
        <v>29</v>
      </c>
      <c r="F16" s="15">
        <f ca="1">NOW()+15018.5+$C$5/24</f>
        <v>60163.491269560182</v>
      </c>
    </row>
    <row r="17" spans="1:18" ht="13.5" thickBot="1" x14ac:dyDescent="0.25">
      <c r="A17" s="14" t="s">
        <v>26</v>
      </c>
      <c r="B17" s="10"/>
      <c r="C17" s="10">
        <f>COUNT(C21:C2191)</f>
        <v>23</v>
      </c>
      <c r="E17" s="14" t="s">
        <v>41</v>
      </c>
      <c r="F17" s="15">
        <f ca="1">ROUND(2*(F16-$C$7)/$C$8,0)/2+F15</f>
        <v>6999</v>
      </c>
    </row>
    <row r="18" spans="1:18" ht="14.25" thickTop="1" thickBot="1" x14ac:dyDescent="0.25">
      <c r="A18" s="16" t="s">
        <v>4</v>
      </c>
      <c r="B18" s="10"/>
      <c r="C18" s="19">
        <f ca="1">+C15</f>
        <v>56485.442012643231</v>
      </c>
      <c r="D18" s="20">
        <f ca="1">+C16</f>
        <v>1.3043572251563273</v>
      </c>
      <c r="E18" s="14" t="s">
        <v>30</v>
      </c>
      <c r="F18" s="23">
        <f ca="1">ROUND(2*(F16-$C$15)/$C$16,0)/2+F15</f>
        <v>2821</v>
      </c>
    </row>
    <row r="19" spans="1:18" ht="13.5" thickTop="1" x14ac:dyDescent="0.2">
      <c r="E19" s="14" t="s">
        <v>31</v>
      </c>
      <c r="F19" s="18">
        <f ca="1">+$C$15+$C$16*F18-15018.5-$C$5/24</f>
        <v>45146.929578142568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52</v>
      </c>
      <c r="I20" s="7" t="s">
        <v>55</v>
      </c>
      <c r="J20" s="7" t="s">
        <v>49</v>
      </c>
      <c r="K20" s="7" t="s">
        <v>47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8" x14ac:dyDescent="0.2">
      <c r="A21" s="28" t="s">
        <v>38</v>
      </c>
      <c r="B21" s="31" t="s">
        <v>37</v>
      </c>
      <c r="C21" s="28">
        <v>51032.576800000003</v>
      </c>
      <c r="D21" s="28">
        <v>1.1000000000000001E-3</v>
      </c>
      <c r="E21">
        <f t="shared" ref="E21:E42" si="0">+(C21-C$7)/C$8</f>
        <v>-1.5006515906433671</v>
      </c>
      <c r="F21">
        <f t="shared" ref="F21:F30" si="1">ROUND(2*E21,0)/2</f>
        <v>-1.5</v>
      </c>
      <c r="G21">
        <f t="shared" ref="G21:G42" si="2">+C21-(C$7+F21*C$8)</f>
        <v>-8.4999999671708792E-4</v>
      </c>
      <c r="K21">
        <f t="shared" ref="K21:K39" si="3">+G21</f>
        <v>-8.4999999671708792E-4</v>
      </c>
      <c r="O21">
        <f t="shared" ref="O21:O42" ca="1" si="4">+C$11+C$12*$F21</f>
        <v>-1.0171227907548931E-3</v>
      </c>
      <c r="Q21" s="2">
        <f t="shared" ref="Q21:Q42" si="5">+C21-15018.5</f>
        <v>36014.076800000003</v>
      </c>
      <c r="R21" t="s">
        <v>47</v>
      </c>
    </row>
    <row r="22" spans="1:18" x14ac:dyDescent="0.2">
      <c r="A22" s="28" t="s">
        <v>38</v>
      </c>
      <c r="B22" s="31" t="s">
        <v>37</v>
      </c>
      <c r="C22" s="28">
        <v>51036.491800000003</v>
      </c>
      <c r="D22" s="28">
        <v>5.0000000000000001E-4</v>
      </c>
      <c r="E22">
        <f t="shared" si="0"/>
        <v>1.5004982752062865</v>
      </c>
      <c r="F22">
        <f t="shared" si="1"/>
        <v>1.5</v>
      </c>
      <c r="G22">
        <f t="shared" si="2"/>
        <v>6.5000000904547051E-4</v>
      </c>
      <c r="K22">
        <f t="shared" si="3"/>
        <v>6.5000000904547051E-4</v>
      </c>
      <c r="O22">
        <f t="shared" ca="1" si="4"/>
        <v>-1.4454473217728136E-3</v>
      </c>
      <c r="Q22" s="2">
        <f t="shared" si="5"/>
        <v>36017.991800000003</v>
      </c>
      <c r="R22" t="s">
        <v>47</v>
      </c>
    </row>
    <row r="23" spans="1:18" x14ac:dyDescent="0.2">
      <c r="A23" s="28" t="s">
        <v>38</v>
      </c>
      <c r="B23" s="31" t="s">
        <v>36</v>
      </c>
      <c r="C23" s="28">
        <v>51038.447399999997</v>
      </c>
      <c r="D23" s="28">
        <v>1.4E-3</v>
      </c>
      <c r="E23">
        <f t="shared" si="0"/>
        <v>2.9996167113840291</v>
      </c>
      <c r="F23">
        <f t="shared" si="1"/>
        <v>3</v>
      </c>
      <c r="G23">
        <f t="shared" si="2"/>
        <v>-5.0000000192085281E-4</v>
      </c>
      <c r="K23">
        <f t="shared" si="3"/>
        <v>-5.0000000192085281E-4</v>
      </c>
      <c r="O23">
        <f t="shared" ca="1" si="4"/>
        <v>-1.6596095872817738E-3</v>
      </c>
      <c r="Q23" s="2">
        <f t="shared" si="5"/>
        <v>36019.947399999997</v>
      </c>
      <c r="R23" t="s">
        <v>47</v>
      </c>
    </row>
    <row r="24" spans="1:18" x14ac:dyDescent="0.2">
      <c r="A24" s="28" t="s">
        <v>38</v>
      </c>
      <c r="B24" s="31" t="s">
        <v>36</v>
      </c>
      <c r="C24" s="28">
        <v>51072.362099999998</v>
      </c>
      <c r="D24" s="28">
        <v>5.9999999999999995E-4</v>
      </c>
      <c r="E24">
        <f t="shared" si="0"/>
        <v>28.997853583749823</v>
      </c>
      <c r="F24">
        <f t="shared" si="1"/>
        <v>29</v>
      </c>
      <c r="G24">
        <f t="shared" si="2"/>
        <v>-2.799999994749669E-3</v>
      </c>
      <c r="K24">
        <f t="shared" si="3"/>
        <v>-2.799999994749669E-3</v>
      </c>
      <c r="O24">
        <f t="shared" ca="1" si="4"/>
        <v>-5.371755522770417E-3</v>
      </c>
      <c r="Q24" s="2">
        <f t="shared" si="5"/>
        <v>36053.862099999998</v>
      </c>
      <c r="R24" t="s">
        <v>47</v>
      </c>
    </row>
    <row r="25" spans="1:18" s="52" customFormat="1" ht="12" customHeight="1" x14ac:dyDescent="0.2">
      <c r="A25" s="28" t="s">
        <v>35</v>
      </c>
      <c r="B25" s="31" t="s">
        <v>36</v>
      </c>
      <c r="C25" s="28">
        <v>53974.551579999999</v>
      </c>
      <c r="D25" s="28">
        <v>4.1000000000000003E-3</v>
      </c>
      <c r="E25" s="52">
        <f t="shared" si="0"/>
        <v>2253.7502338060581</v>
      </c>
      <c r="F25" s="52">
        <f t="shared" si="1"/>
        <v>2254</v>
      </c>
      <c r="G25" s="52">
        <f t="shared" si="2"/>
        <v>-0.32581999999820255</v>
      </c>
      <c r="K25" s="52">
        <f t="shared" si="3"/>
        <v>-0.32581999999820255</v>
      </c>
      <c r="O25" s="52">
        <f t="shared" ca="1" si="4"/>
        <v>-0.32304578269439471</v>
      </c>
      <c r="Q25" s="53">
        <f t="shared" si="5"/>
        <v>38956.051579999999</v>
      </c>
      <c r="R25" s="52" t="s">
        <v>121</v>
      </c>
    </row>
    <row r="26" spans="1:18" s="52" customFormat="1" ht="12" customHeight="1" x14ac:dyDescent="0.2">
      <c r="A26" s="28" t="s">
        <v>35</v>
      </c>
      <c r="B26" s="31" t="s">
        <v>36</v>
      </c>
      <c r="C26" s="28">
        <v>53974.553659999998</v>
      </c>
      <c r="D26" s="28">
        <v>4.1999999999999997E-3</v>
      </c>
      <c r="E26" s="52">
        <f t="shared" si="0"/>
        <v>2253.7518282867004</v>
      </c>
      <c r="F26" s="52">
        <f t="shared" si="1"/>
        <v>2254</v>
      </c>
      <c r="G26" s="52">
        <f t="shared" si="2"/>
        <v>-0.32373999999981606</v>
      </c>
      <c r="K26" s="52">
        <f t="shared" si="3"/>
        <v>-0.32373999999981606</v>
      </c>
      <c r="O26" s="52">
        <f t="shared" ca="1" si="4"/>
        <v>-0.32304578269439471</v>
      </c>
      <c r="Q26" s="53">
        <f t="shared" si="5"/>
        <v>38956.053659999998</v>
      </c>
      <c r="R26" s="52" t="s">
        <v>121</v>
      </c>
    </row>
    <row r="27" spans="1:18" s="52" customFormat="1" ht="12" customHeight="1" x14ac:dyDescent="0.2">
      <c r="A27" s="28" t="s">
        <v>35</v>
      </c>
      <c r="B27" s="31" t="s">
        <v>36</v>
      </c>
      <c r="C27" s="28">
        <v>53974.554360000002</v>
      </c>
      <c r="D27" s="28">
        <v>5.3E-3</v>
      </c>
      <c r="E27" s="52">
        <f t="shared" si="0"/>
        <v>2253.7523648907668</v>
      </c>
      <c r="F27" s="52">
        <f t="shared" si="1"/>
        <v>2254</v>
      </c>
      <c r="G27" s="52">
        <f t="shared" si="2"/>
        <v>-0.32303999999567168</v>
      </c>
      <c r="K27" s="52">
        <f t="shared" si="3"/>
        <v>-0.32303999999567168</v>
      </c>
      <c r="O27" s="52">
        <f t="shared" ca="1" si="4"/>
        <v>-0.32304578269439471</v>
      </c>
      <c r="Q27" s="53">
        <f t="shared" si="5"/>
        <v>38956.054360000002</v>
      </c>
      <c r="R27" s="52" t="s">
        <v>121</v>
      </c>
    </row>
    <row r="28" spans="1:18" s="52" customFormat="1" ht="12" customHeight="1" x14ac:dyDescent="0.2">
      <c r="A28" s="28" t="s">
        <v>35</v>
      </c>
      <c r="B28" s="31" t="s">
        <v>37</v>
      </c>
      <c r="C28" s="28">
        <v>53989.554199999999</v>
      </c>
      <c r="D28" s="28">
        <v>5.1000000000000004E-3</v>
      </c>
      <c r="E28" s="52">
        <f t="shared" si="0"/>
        <v>2265.2509007282497</v>
      </c>
      <c r="F28" s="52">
        <f t="shared" si="1"/>
        <v>2265.5</v>
      </c>
      <c r="G28" s="52">
        <f t="shared" si="2"/>
        <v>-0.32494999999471474</v>
      </c>
      <c r="K28" s="52">
        <f t="shared" si="3"/>
        <v>-0.32494999999471474</v>
      </c>
      <c r="O28" s="52">
        <f t="shared" ca="1" si="4"/>
        <v>-0.32468769339663006</v>
      </c>
      <c r="Q28" s="53">
        <f t="shared" si="5"/>
        <v>38971.054199999999</v>
      </c>
      <c r="R28" s="52" t="s">
        <v>121</v>
      </c>
    </row>
    <row r="29" spans="1:18" s="52" customFormat="1" ht="12" customHeight="1" x14ac:dyDescent="0.2">
      <c r="A29" s="28" t="s">
        <v>35</v>
      </c>
      <c r="B29" s="31" t="s">
        <v>37</v>
      </c>
      <c r="C29" s="28">
        <v>53989.55629</v>
      </c>
      <c r="D29" s="28">
        <v>5.0000000000000001E-3</v>
      </c>
      <c r="E29" s="52">
        <f t="shared" si="0"/>
        <v>2265.2525028746672</v>
      </c>
      <c r="F29" s="52">
        <f t="shared" si="1"/>
        <v>2265.5</v>
      </c>
      <c r="G29" s="52">
        <f t="shared" si="2"/>
        <v>-0.3228599999929429</v>
      </c>
      <c r="K29" s="52">
        <f t="shared" si="3"/>
        <v>-0.3228599999929429</v>
      </c>
      <c r="O29" s="52">
        <f t="shared" ca="1" si="4"/>
        <v>-0.32468769339663006</v>
      </c>
      <c r="Q29" s="53">
        <f t="shared" si="5"/>
        <v>38971.05629</v>
      </c>
      <c r="R29" s="52" t="s">
        <v>121</v>
      </c>
    </row>
    <row r="30" spans="1:18" s="52" customFormat="1" ht="12" customHeight="1" x14ac:dyDescent="0.2">
      <c r="A30" s="28" t="s">
        <v>35</v>
      </c>
      <c r="B30" s="31" t="s">
        <v>37</v>
      </c>
      <c r="C30" s="28">
        <v>53989.556980000001</v>
      </c>
      <c r="D30" s="28">
        <v>5.5999999999999999E-3</v>
      </c>
      <c r="E30" s="52">
        <f t="shared" si="0"/>
        <v>2265.2530318129584</v>
      </c>
      <c r="F30" s="52">
        <f t="shared" si="1"/>
        <v>2265.5</v>
      </c>
      <c r="G30" s="52">
        <f t="shared" si="2"/>
        <v>-0.32216999999218388</v>
      </c>
      <c r="K30" s="52">
        <f t="shared" si="3"/>
        <v>-0.32216999999218388</v>
      </c>
      <c r="O30" s="52">
        <f t="shared" ca="1" si="4"/>
        <v>-0.32468769339663006</v>
      </c>
      <c r="Q30" s="53">
        <f t="shared" si="5"/>
        <v>38971.056980000001</v>
      </c>
      <c r="R30" s="52" t="s">
        <v>121</v>
      </c>
    </row>
    <row r="31" spans="1:18" s="52" customFormat="1" ht="12" customHeight="1" x14ac:dyDescent="0.2">
      <c r="A31" s="28" t="s">
        <v>35</v>
      </c>
      <c r="B31" s="31" t="s">
        <v>36</v>
      </c>
      <c r="C31" s="28">
        <v>53991.505660000003</v>
      </c>
      <c r="D31" s="28">
        <v>6.3E-3</v>
      </c>
      <c r="E31" s="52">
        <f t="shared" si="0"/>
        <v>2266.7468455346921</v>
      </c>
      <c r="F31" s="30">
        <f>ROUND(2*E31,0)/2+0.5</f>
        <v>2267</v>
      </c>
      <c r="G31" s="52">
        <f t="shared" si="2"/>
        <v>-0.33023999999568332</v>
      </c>
      <c r="K31" s="52">
        <f t="shared" si="3"/>
        <v>-0.33023999999568332</v>
      </c>
      <c r="O31" s="52">
        <f t="shared" ca="1" si="4"/>
        <v>-0.32490185566213903</v>
      </c>
      <c r="Q31" s="53">
        <f t="shared" si="5"/>
        <v>38973.005660000003</v>
      </c>
      <c r="R31" s="52" t="s">
        <v>121</v>
      </c>
    </row>
    <row r="32" spans="1:18" s="52" customFormat="1" ht="12" customHeight="1" x14ac:dyDescent="0.2">
      <c r="A32" s="28" t="s">
        <v>35</v>
      </c>
      <c r="B32" s="31" t="s">
        <v>36</v>
      </c>
      <c r="C32" s="28">
        <v>53991.509129999999</v>
      </c>
      <c r="D32" s="28">
        <v>6.4999999999999997E-3</v>
      </c>
      <c r="E32" s="52">
        <f t="shared" si="0"/>
        <v>2266.7495055576865</v>
      </c>
      <c r="F32" s="30">
        <f>ROUND(2*E32,0)/2+0.5</f>
        <v>2267</v>
      </c>
      <c r="G32" s="52">
        <f t="shared" si="2"/>
        <v>-0.32676999999966938</v>
      </c>
      <c r="K32" s="52">
        <f t="shared" si="3"/>
        <v>-0.32676999999966938</v>
      </c>
      <c r="O32" s="52">
        <f t="shared" ca="1" si="4"/>
        <v>-0.32490185566213903</v>
      </c>
      <c r="Q32" s="53">
        <f t="shared" si="5"/>
        <v>38973.009129999999</v>
      </c>
      <c r="R32" s="52" t="s">
        <v>121</v>
      </c>
    </row>
    <row r="33" spans="1:18" s="52" customFormat="1" ht="12" customHeight="1" x14ac:dyDescent="0.2">
      <c r="A33" s="28" t="s">
        <v>35</v>
      </c>
      <c r="B33" s="31" t="s">
        <v>36</v>
      </c>
      <c r="C33" s="28">
        <v>53991.510520000003</v>
      </c>
      <c r="D33" s="28">
        <v>6.1000000000000004E-3</v>
      </c>
      <c r="E33" s="52">
        <f t="shared" si="0"/>
        <v>2266.7505711000435</v>
      </c>
      <c r="F33" s="52">
        <f>ROUND(2*E33,0)/2</f>
        <v>2267</v>
      </c>
      <c r="G33" s="52">
        <f t="shared" si="2"/>
        <v>-0.32537999999476597</v>
      </c>
      <c r="K33" s="52">
        <f t="shared" si="3"/>
        <v>-0.32537999999476597</v>
      </c>
      <c r="O33" s="52">
        <f t="shared" ca="1" si="4"/>
        <v>-0.32490185566213903</v>
      </c>
      <c r="Q33" s="53">
        <f t="shared" si="5"/>
        <v>38973.010520000003</v>
      </c>
      <c r="R33" s="52" t="s">
        <v>121</v>
      </c>
    </row>
    <row r="34" spans="1:18" s="52" customFormat="1" ht="12" customHeight="1" x14ac:dyDescent="0.2">
      <c r="A34" s="28" t="s">
        <v>35</v>
      </c>
      <c r="B34" s="31" t="s">
        <v>36</v>
      </c>
      <c r="C34" s="28">
        <v>54034.547359999997</v>
      </c>
      <c r="D34" s="28">
        <v>2.0999999999999999E-3</v>
      </c>
      <c r="E34" s="52">
        <f t="shared" si="0"/>
        <v>2299.7416328095055</v>
      </c>
      <c r="F34" s="30">
        <f t="shared" ref="F34:F42" si="6">ROUND(2*E34,0)/2+0.5</f>
        <v>2300</v>
      </c>
      <c r="G34" s="52">
        <f t="shared" si="2"/>
        <v>-0.33703999999852385</v>
      </c>
      <c r="K34" s="52">
        <f t="shared" si="3"/>
        <v>-0.33703999999852385</v>
      </c>
      <c r="O34" s="52">
        <f t="shared" ca="1" si="4"/>
        <v>-0.32961342550333617</v>
      </c>
      <c r="Q34" s="53">
        <f t="shared" si="5"/>
        <v>39016.047359999997</v>
      </c>
      <c r="R34" s="52" t="s">
        <v>121</v>
      </c>
    </row>
    <row r="35" spans="1:18" s="52" customFormat="1" ht="12" customHeight="1" x14ac:dyDescent="0.2">
      <c r="A35" s="28" t="s">
        <v>35</v>
      </c>
      <c r="B35" s="31" t="s">
        <v>36</v>
      </c>
      <c r="C35" s="28">
        <v>54034.550139999999</v>
      </c>
      <c r="D35" s="28">
        <v>1.8E-3</v>
      </c>
      <c r="E35" s="52">
        <f t="shared" si="0"/>
        <v>2299.7437638942142</v>
      </c>
      <c r="F35" s="30">
        <f t="shared" si="6"/>
        <v>2300</v>
      </c>
      <c r="G35" s="52">
        <f t="shared" si="2"/>
        <v>-0.33425999999599298</v>
      </c>
      <c r="K35" s="52">
        <f t="shared" si="3"/>
        <v>-0.33425999999599298</v>
      </c>
      <c r="O35" s="52">
        <f t="shared" ca="1" si="4"/>
        <v>-0.32961342550333617</v>
      </c>
      <c r="Q35" s="53">
        <f t="shared" si="5"/>
        <v>39016.050139999999</v>
      </c>
      <c r="R35" s="52" t="s">
        <v>121</v>
      </c>
    </row>
    <row r="36" spans="1:18" s="52" customFormat="1" ht="12" customHeight="1" x14ac:dyDescent="0.2">
      <c r="A36" s="28" t="s">
        <v>35</v>
      </c>
      <c r="B36" s="31" t="s">
        <v>36</v>
      </c>
      <c r="C36" s="28">
        <v>54034.557090000002</v>
      </c>
      <c r="D36" s="28">
        <v>2E-3</v>
      </c>
      <c r="E36" s="52">
        <f t="shared" si="0"/>
        <v>2299.7490916059833</v>
      </c>
      <c r="F36" s="30">
        <f t="shared" si="6"/>
        <v>2300</v>
      </c>
      <c r="G36" s="52">
        <f t="shared" si="2"/>
        <v>-0.32730999999330379</v>
      </c>
      <c r="K36" s="52">
        <f t="shared" si="3"/>
        <v>-0.32730999999330379</v>
      </c>
      <c r="O36" s="52">
        <f t="shared" ca="1" si="4"/>
        <v>-0.32961342550333617</v>
      </c>
      <c r="Q36" s="53">
        <f t="shared" si="5"/>
        <v>39016.057090000002</v>
      </c>
      <c r="R36" s="52" t="s">
        <v>121</v>
      </c>
    </row>
    <row r="37" spans="1:18" s="52" customFormat="1" ht="12" customHeight="1" x14ac:dyDescent="0.2">
      <c r="A37" s="28" t="s">
        <v>35</v>
      </c>
      <c r="B37" s="31" t="s">
        <v>36</v>
      </c>
      <c r="C37" s="28">
        <v>54205.425499999998</v>
      </c>
      <c r="D37" s="28">
        <v>1.1000000000000001E-3</v>
      </c>
      <c r="E37" s="52">
        <f t="shared" si="0"/>
        <v>2430.732924492143</v>
      </c>
      <c r="F37" s="30">
        <f t="shared" si="6"/>
        <v>2431</v>
      </c>
      <c r="G37" s="52">
        <f t="shared" si="2"/>
        <v>-0.34840000000258442</v>
      </c>
      <c r="K37" s="52">
        <f t="shared" si="3"/>
        <v>-0.34840000000258442</v>
      </c>
      <c r="O37" s="52">
        <f t="shared" ca="1" si="4"/>
        <v>-0.34831693002445202</v>
      </c>
      <c r="Q37" s="53">
        <f t="shared" si="5"/>
        <v>39186.925499999998</v>
      </c>
      <c r="R37" s="52" t="s">
        <v>121</v>
      </c>
    </row>
    <row r="38" spans="1:18" s="52" customFormat="1" ht="12" customHeight="1" x14ac:dyDescent="0.2">
      <c r="A38" s="28" t="s">
        <v>35</v>
      </c>
      <c r="B38" s="31" t="s">
        <v>36</v>
      </c>
      <c r="C38" s="28">
        <v>54205.426700000004</v>
      </c>
      <c r="D38" s="28">
        <v>2.2000000000000001E-3</v>
      </c>
      <c r="E38" s="52">
        <f t="shared" si="0"/>
        <v>2430.7338443848271</v>
      </c>
      <c r="F38" s="30">
        <f t="shared" si="6"/>
        <v>2431</v>
      </c>
      <c r="G38" s="52">
        <f t="shared" si="2"/>
        <v>-0.34719999999651918</v>
      </c>
      <c r="K38" s="52">
        <f t="shared" si="3"/>
        <v>-0.34719999999651918</v>
      </c>
      <c r="O38" s="52">
        <f t="shared" ca="1" si="4"/>
        <v>-0.34831693002445202</v>
      </c>
      <c r="Q38" s="53">
        <f t="shared" si="5"/>
        <v>39186.926700000004</v>
      </c>
      <c r="R38" s="52" t="s">
        <v>121</v>
      </c>
    </row>
    <row r="39" spans="1:18" s="52" customFormat="1" ht="12" customHeight="1" x14ac:dyDescent="0.2">
      <c r="A39" s="28" t="s">
        <v>35</v>
      </c>
      <c r="B39" s="31" t="s">
        <v>36</v>
      </c>
      <c r="C39" s="28">
        <v>54205.4277</v>
      </c>
      <c r="D39" s="28">
        <v>1.8E-3</v>
      </c>
      <c r="E39" s="52">
        <f t="shared" si="0"/>
        <v>2430.7346109620571</v>
      </c>
      <c r="F39" s="30">
        <f t="shared" si="6"/>
        <v>2431</v>
      </c>
      <c r="G39" s="52">
        <f t="shared" si="2"/>
        <v>-0.34619999999995343</v>
      </c>
      <c r="K39" s="52">
        <f t="shared" si="3"/>
        <v>-0.34619999999995343</v>
      </c>
      <c r="O39" s="52">
        <f t="shared" ca="1" si="4"/>
        <v>-0.34831693002445202</v>
      </c>
      <c r="Q39" s="53">
        <f t="shared" si="5"/>
        <v>39186.9277</v>
      </c>
      <c r="R39" s="52" t="s">
        <v>121</v>
      </c>
    </row>
    <row r="40" spans="1:18" s="52" customFormat="1" ht="12" customHeight="1" x14ac:dyDescent="0.2">
      <c r="A40" s="32" t="s">
        <v>42</v>
      </c>
      <c r="B40" s="33" t="s">
        <v>36</v>
      </c>
      <c r="C40" s="32">
        <v>55645.438600000001</v>
      </c>
      <c r="D40" s="32">
        <v>2.3900000000000001E-2</v>
      </c>
      <c r="E40" s="52">
        <f t="shared" si="0"/>
        <v>3534.6141816788077</v>
      </c>
      <c r="F40" s="30">
        <f t="shared" si="6"/>
        <v>3535</v>
      </c>
      <c r="G40" s="52">
        <f t="shared" si="2"/>
        <v>-0.50329999999667052</v>
      </c>
      <c r="J40" s="52">
        <f>+G40</f>
        <v>-0.50329999999667052</v>
      </c>
      <c r="O40" s="52">
        <f t="shared" ca="1" si="4"/>
        <v>-0.50594035743904664</v>
      </c>
      <c r="Q40" s="53">
        <f t="shared" si="5"/>
        <v>40626.938600000001</v>
      </c>
      <c r="R40" s="52" t="s">
        <v>49</v>
      </c>
    </row>
    <row r="41" spans="1:18" s="52" customFormat="1" ht="12" customHeight="1" x14ac:dyDescent="0.2">
      <c r="A41" s="34" t="s">
        <v>43</v>
      </c>
      <c r="B41" s="35" t="s">
        <v>36</v>
      </c>
      <c r="C41" s="36">
        <v>56219.351799999997</v>
      </c>
      <c r="D41" s="36">
        <v>5.1000000000000004E-3</v>
      </c>
      <c r="E41" s="52">
        <f t="shared" si="0"/>
        <v>3974.5629743196628</v>
      </c>
      <c r="F41" s="30">
        <f t="shared" si="6"/>
        <v>3975</v>
      </c>
      <c r="G41" s="52">
        <f t="shared" si="2"/>
        <v>-0.57009999999718275</v>
      </c>
      <c r="J41" s="52">
        <f>+G41</f>
        <v>-0.57009999999718275</v>
      </c>
      <c r="O41" s="52">
        <f t="shared" ca="1" si="4"/>
        <v>-0.56876128865500841</v>
      </c>
      <c r="Q41" s="53">
        <f t="shared" si="5"/>
        <v>41200.851799999997</v>
      </c>
      <c r="R41" s="52" t="s">
        <v>49</v>
      </c>
    </row>
    <row r="42" spans="1:18" s="52" customFormat="1" ht="12" customHeight="1" x14ac:dyDescent="0.2">
      <c r="A42" s="36" t="s">
        <v>44</v>
      </c>
      <c r="B42" s="35" t="s">
        <v>36</v>
      </c>
      <c r="C42" s="36">
        <v>56485.448400000001</v>
      </c>
      <c r="D42" s="36">
        <v>5.4999999999999997E-3</v>
      </c>
      <c r="E42" s="52">
        <f t="shared" si="0"/>
        <v>4178.5465695668872</v>
      </c>
      <c r="F42" s="30">
        <f t="shared" si="6"/>
        <v>4179</v>
      </c>
      <c r="G42" s="52">
        <f t="shared" si="2"/>
        <v>-0.59149999999499414</v>
      </c>
      <c r="J42" s="52">
        <f>+G42</f>
        <v>-0.59149999999499414</v>
      </c>
      <c r="O42" s="52">
        <f t="shared" ca="1" si="4"/>
        <v>-0.59788735676422688</v>
      </c>
      <c r="Q42" s="53">
        <f t="shared" si="5"/>
        <v>41466.948400000001</v>
      </c>
      <c r="R42" s="52" t="s">
        <v>49</v>
      </c>
    </row>
    <row r="43" spans="1:18" s="52" customFormat="1" ht="12" customHeight="1" x14ac:dyDescent="0.2">
      <c r="A43" s="50" t="s">
        <v>122</v>
      </c>
      <c r="B43" s="51" t="s">
        <v>36</v>
      </c>
      <c r="C43" s="54">
        <v>59220.670100000003</v>
      </c>
      <c r="D43" s="55">
        <v>2.8E-3</v>
      </c>
    </row>
    <row r="44" spans="1:18" s="52" customFormat="1" ht="12" customHeight="1" x14ac:dyDescent="0.2">
      <c r="C44" s="56"/>
      <c r="D44" s="56"/>
    </row>
    <row r="45" spans="1:18" s="52" customFormat="1" ht="12" customHeight="1" x14ac:dyDescent="0.2">
      <c r="C45" s="56"/>
      <c r="D45" s="56"/>
    </row>
    <row r="46" spans="1:18" s="52" customFormat="1" ht="12" customHeight="1" x14ac:dyDescent="0.2">
      <c r="C46" s="56"/>
      <c r="D46" s="56"/>
    </row>
    <row r="47" spans="1:18" s="52" customFormat="1" ht="12" customHeight="1" x14ac:dyDescent="0.2">
      <c r="C47" s="56"/>
      <c r="D47" s="56"/>
    </row>
    <row r="48" spans="1:18" s="52" customFormat="1" ht="12" customHeight="1" x14ac:dyDescent="0.2">
      <c r="C48" s="56"/>
      <c r="D48" s="56"/>
    </row>
    <row r="49" spans="3:4" s="52" customFormat="1" ht="12" customHeight="1" x14ac:dyDescent="0.2">
      <c r="C49" s="56"/>
      <c r="D49" s="56"/>
    </row>
    <row r="50" spans="3:4" s="52" customFormat="1" ht="12" customHeight="1" x14ac:dyDescent="0.2">
      <c r="C50" s="56"/>
      <c r="D50" s="56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0"/>
  <sheetViews>
    <sheetView topLeftCell="A6" workbookViewId="0">
      <selection activeCell="A11" sqref="A11:IV448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7" t="s">
        <v>45</v>
      </c>
      <c r="I1" s="38" t="s">
        <v>46</v>
      </c>
      <c r="J1" s="39" t="s">
        <v>47</v>
      </c>
    </row>
    <row r="2" spans="1:16" x14ac:dyDescent="0.2">
      <c r="I2" s="40" t="s">
        <v>48</v>
      </c>
      <c r="J2" s="41" t="s">
        <v>49</v>
      </c>
    </row>
    <row r="3" spans="1:16" x14ac:dyDescent="0.2">
      <c r="A3" s="42" t="s">
        <v>50</v>
      </c>
      <c r="I3" s="40" t="s">
        <v>51</v>
      </c>
      <c r="J3" s="41" t="s">
        <v>52</v>
      </c>
    </row>
    <row r="4" spans="1:16" x14ac:dyDescent="0.2">
      <c r="I4" s="40" t="s">
        <v>53</v>
      </c>
      <c r="J4" s="41" t="s">
        <v>52</v>
      </c>
    </row>
    <row r="5" spans="1:16" ht="13.5" thickBot="1" x14ac:dyDescent="0.25">
      <c r="I5" s="43" t="s">
        <v>54</v>
      </c>
      <c r="J5" s="44" t="s">
        <v>55</v>
      </c>
    </row>
    <row r="10" spans="1:16" ht="13.5" thickBot="1" x14ac:dyDescent="0.25"/>
    <row r="11" spans="1:16" ht="12.75" customHeight="1" thickBot="1" x14ac:dyDescent="0.25">
      <c r="A11" s="8" t="str">
        <f t="shared" ref="A11:A28" si="0">P11</f>
        <v>OEJV 0074 </v>
      </c>
      <c r="B11" s="3" t="str">
        <f t="shared" ref="B11:B28" si="1">IF(H11=INT(H11),"I","II")</f>
        <v>I</v>
      </c>
      <c r="C11" s="8">
        <f t="shared" ref="C11:C28" si="2">1*G11</f>
        <v>53974.551579999999</v>
      </c>
      <c r="D11" s="10" t="str">
        <f t="shared" ref="D11:D28" si="3">VLOOKUP(F11,I$1:J$5,2,FALSE)</f>
        <v>vis</v>
      </c>
      <c r="E11" s="45">
        <f>VLOOKUP(C11,Active!C$21:E$973,3,FALSE)</f>
        <v>2253.7502338060581</v>
      </c>
      <c r="F11" s="3" t="s">
        <v>54</v>
      </c>
      <c r="G11" s="10" t="str">
        <f t="shared" ref="G11:G28" si="4">MID(I11,3,LEN(I11)-3)</f>
        <v>53974.55158</v>
      </c>
      <c r="H11" s="8">
        <f t="shared" ref="H11:H28" si="5">1*K11</f>
        <v>1130</v>
      </c>
      <c r="I11" s="46" t="s">
        <v>56</v>
      </c>
      <c r="J11" s="47" t="s">
        <v>57</v>
      </c>
      <c r="K11" s="46">
        <v>1130</v>
      </c>
      <c r="L11" s="46" t="s">
        <v>58</v>
      </c>
      <c r="M11" s="47" t="s">
        <v>59</v>
      </c>
      <c r="N11" s="47" t="s">
        <v>60</v>
      </c>
      <c r="O11" s="48" t="s">
        <v>61</v>
      </c>
      <c r="P11" s="49" t="s">
        <v>62</v>
      </c>
    </row>
    <row r="12" spans="1:16" ht="12.75" customHeight="1" thickBot="1" x14ac:dyDescent="0.25">
      <c r="A12" s="8" t="str">
        <f t="shared" si="0"/>
        <v>OEJV 0074 </v>
      </c>
      <c r="B12" s="3" t="str">
        <f t="shared" si="1"/>
        <v>I</v>
      </c>
      <c r="C12" s="8">
        <f t="shared" si="2"/>
        <v>53974.553659999998</v>
      </c>
      <c r="D12" s="10" t="str">
        <f t="shared" si="3"/>
        <v>vis</v>
      </c>
      <c r="E12" s="45">
        <f>VLOOKUP(C12,Active!C$21:E$973,3,FALSE)</f>
        <v>2253.7518282867004</v>
      </c>
      <c r="F12" s="3" t="s">
        <v>54</v>
      </c>
      <c r="G12" s="10" t="str">
        <f t="shared" si="4"/>
        <v>53974.55366</v>
      </c>
      <c r="H12" s="8">
        <f t="shared" si="5"/>
        <v>1130</v>
      </c>
      <c r="I12" s="46" t="s">
        <v>63</v>
      </c>
      <c r="J12" s="47" t="s">
        <v>64</v>
      </c>
      <c r="K12" s="46">
        <v>1130</v>
      </c>
      <c r="L12" s="46" t="s">
        <v>65</v>
      </c>
      <c r="M12" s="47" t="s">
        <v>59</v>
      </c>
      <c r="N12" s="47" t="s">
        <v>54</v>
      </c>
      <c r="O12" s="48" t="s">
        <v>61</v>
      </c>
      <c r="P12" s="49" t="s">
        <v>62</v>
      </c>
    </row>
    <row r="13" spans="1:16" ht="12.75" customHeight="1" thickBot="1" x14ac:dyDescent="0.25">
      <c r="A13" s="8" t="str">
        <f t="shared" si="0"/>
        <v>OEJV 0074 </v>
      </c>
      <c r="B13" s="3" t="str">
        <f t="shared" si="1"/>
        <v>I</v>
      </c>
      <c r="C13" s="8">
        <f t="shared" si="2"/>
        <v>53974.554360000002</v>
      </c>
      <c r="D13" s="10" t="str">
        <f t="shared" si="3"/>
        <v>vis</v>
      </c>
      <c r="E13" s="45">
        <f>VLOOKUP(C13,Active!C$21:E$973,3,FALSE)</f>
        <v>2253.7523648907668</v>
      </c>
      <c r="F13" s="3" t="s">
        <v>54</v>
      </c>
      <c r="G13" s="10" t="str">
        <f t="shared" si="4"/>
        <v>53974.55436</v>
      </c>
      <c r="H13" s="8">
        <f t="shared" si="5"/>
        <v>1130</v>
      </c>
      <c r="I13" s="46" t="s">
        <v>66</v>
      </c>
      <c r="J13" s="47" t="s">
        <v>67</v>
      </c>
      <c r="K13" s="46">
        <v>1130</v>
      </c>
      <c r="L13" s="46" t="s">
        <v>68</v>
      </c>
      <c r="M13" s="47" t="s">
        <v>59</v>
      </c>
      <c r="N13" s="47" t="s">
        <v>69</v>
      </c>
      <c r="O13" s="48" t="s">
        <v>61</v>
      </c>
      <c r="P13" s="49" t="s">
        <v>62</v>
      </c>
    </row>
    <row r="14" spans="1:16" ht="12.75" customHeight="1" thickBot="1" x14ac:dyDescent="0.25">
      <c r="A14" s="8" t="str">
        <f t="shared" si="0"/>
        <v>OEJV 0074 </v>
      </c>
      <c r="B14" s="3" t="str">
        <f t="shared" si="1"/>
        <v>II</v>
      </c>
      <c r="C14" s="8">
        <f t="shared" si="2"/>
        <v>53989.554199999999</v>
      </c>
      <c r="D14" s="10" t="str">
        <f t="shared" si="3"/>
        <v>vis</v>
      </c>
      <c r="E14" s="45">
        <f>VLOOKUP(C14,Active!C$21:E$973,3,FALSE)</f>
        <v>2265.2509007282497</v>
      </c>
      <c r="F14" s="3" t="s">
        <v>54</v>
      </c>
      <c r="G14" s="10" t="str">
        <f t="shared" si="4"/>
        <v>53989.55420</v>
      </c>
      <c r="H14" s="8">
        <f t="shared" si="5"/>
        <v>1141.5</v>
      </c>
      <c r="I14" s="46" t="s">
        <v>70</v>
      </c>
      <c r="J14" s="47" t="s">
        <v>71</v>
      </c>
      <c r="K14" s="46">
        <v>1141.5</v>
      </c>
      <c r="L14" s="46" t="s">
        <v>72</v>
      </c>
      <c r="M14" s="47" t="s">
        <v>59</v>
      </c>
      <c r="N14" s="47" t="s">
        <v>54</v>
      </c>
      <c r="O14" s="48" t="s">
        <v>61</v>
      </c>
      <c r="P14" s="49" t="s">
        <v>62</v>
      </c>
    </row>
    <row r="15" spans="1:16" ht="12.75" customHeight="1" thickBot="1" x14ac:dyDescent="0.25">
      <c r="A15" s="8" t="str">
        <f t="shared" si="0"/>
        <v>OEJV 0074 </v>
      </c>
      <c r="B15" s="3" t="str">
        <f t="shared" si="1"/>
        <v>II</v>
      </c>
      <c r="C15" s="8">
        <f t="shared" si="2"/>
        <v>53989.55629</v>
      </c>
      <c r="D15" s="10" t="str">
        <f t="shared" si="3"/>
        <v>vis</v>
      </c>
      <c r="E15" s="45">
        <f>VLOOKUP(C15,Active!C$21:E$973,3,FALSE)</f>
        <v>2265.2525028746672</v>
      </c>
      <c r="F15" s="3" t="s">
        <v>54</v>
      </c>
      <c r="G15" s="10" t="str">
        <f t="shared" si="4"/>
        <v>53989.55629</v>
      </c>
      <c r="H15" s="8">
        <f t="shared" si="5"/>
        <v>1141.5</v>
      </c>
      <c r="I15" s="46" t="s">
        <v>73</v>
      </c>
      <c r="J15" s="47" t="s">
        <v>74</v>
      </c>
      <c r="K15" s="46">
        <v>1141.5</v>
      </c>
      <c r="L15" s="46" t="s">
        <v>75</v>
      </c>
      <c r="M15" s="47" t="s">
        <v>59</v>
      </c>
      <c r="N15" s="47" t="s">
        <v>69</v>
      </c>
      <c r="O15" s="48" t="s">
        <v>61</v>
      </c>
      <c r="P15" s="49" t="s">
        <v>62</v>
      </c>
    </row>
    <row r="16" spans="1:16" ht="12.75" customHeight="1" thickBot="1" x14ac:dyDescent="0.25">
      <c r="A16" s="8" t="str">
        <f t="shared" si="0"/>
        <v>OEJV 0074 </v>
      </c>
      <c r="B16" s="3" t="str">
        <f t="shared" si="1"/>
        <v>II</v>
      </c>
      <c r="C16" s="8">
        <f t="shared" si="2"/>
        <v>53989.556980000001</v>
      </c>
      <c r="D16" s="10" t="str">
        <f t="shared" si="3"/>
        <v>vis</v>
      </c>
      <c r="E16" s="45">
        <f>VLOOKUP(C16,Active!C$21:E$973,3,FALSE)</f>
        <v>2265.2530318129584</v>
      </c>
      <c r="F16" s="3" t="s">
        <v>54</v>
      </c>
      <c r="G16" s="10" t="str">
        <f t="shared" si="4"/>
        <v>53989.55698</v>
      </c>
      <c r="H16" s="8">
        <f t="shared" si="5"/>
        <v>1141.5</v>
      </c>
      <c r="I16" s="46" t="s">
        <v>76</v>
      </c>
      <c r="J16" s="47" t="s">
        <v>77</v>
      </c>
      <c r="K16" s="46">
        <v>1141.5</v>
      </c>
      <c r="L16" s="46" t="s">
        <v>78</v>
      </c>
      <c r="M16" s="47" t="s">
        <v>59</v>
      </c>
      <c r="N16" s="47" t="s">
        <v>60</v>
      </c>
      <c r="O16" s="48" t="s">
        <v>61</v>
      </c>
      <c r="P16" s="49" t="s">
        <v>62</v>
      </c>
    </row>
    <row r="17" spans="1:16" ht="12.75" customHeight="1" thickBot="1" x14ac:dyDescent="0.25">
      <c r="A17" s="8" t="str">
        <f t="shared" si="0"/>
        <v>OEJV 0074 </v>
      </c>
      <c r="B17" s="3" t="str">
        <f t="shared" si="1"/>
        <v>I</v>
      </c>
      <c r="C17" s="8">
        <f t="shared" si="2"/>
        <v>53991.505660000003</v>
      </c>
      <c r="D17" s="10" t="str">
        <f t="shared" si="3"/>
        <v>vis</v>
      </c>
      <c r="E17" s="45">
        <f>VLOOKUP(C17,Active!C$21:E$973,3,FALSE)</f>
        <v>2266.7468455346921</v>
      </c>
      <c r="F17" s="3" t="s">
        <v>54</v>
      </c>
      <c r="G17" s="10" t="str">
        <f t="shared" si="4"/>
        <v>53991.50566</v>
      </c>
      <c r="H17" s="8">
        <f t="shared" si="5"/>
        <v>1143</v>
      </c>
      <c r="I17" s="46" t="s">
        <v>79</v>
      </c>
      <c r="J17" s="47" t="s">
        <v>80</v>
      </c>
      <c r="K17" s="46">
        <v>1143</v>
      </c>
      <c r="L17" s="46" t="s">
        <v>81</v>
      </c>
      <c r="M17" s="47" t="s">
        <v>59</v>
      </c>
      <c r="N17" s="47" t="s">
        <v>60</v>
      </c>
      <c r="O17" s="48" t="s">
        <v>61</v>
      </c>
      <c r="P17" s="49" t="s">
        <v>62</v>
      </c>
    </row>
    <row r="18" spans="1:16" ht="12.75" customHeight="1" thickBot="1" x14ac:dyDescent="0.25">
      <c r="A18" s="8" t="str">
        <f t="shared" si="0"/>
        <v>OEJV 0074 </v>
      </c>
      <c r="B18" s="3" t="str">
        <f t="shared" si="1"/>
        <v>I</v>
      </c>
      <c r="C18" s="8">
        <f t="shared" si="2"/>
        <v>53991.509129999999</v>
      </c>
      <c r="D18" s="10" t="str">
        <f t="shared" si="3"/>
        <v>vis</v>
      </c>
      <c r="E18" s="45">
        <f>VLOOKUP(C18,Active!C$21:E$973,3,FALSE)</f>
        <v>2266.7495055576865</v>
      </c>
      <c r="F18" s="3" t="s">
        <v>54</v>
      </c>
      <c r="G18" s="10" t="str">
        <f t="shared" si="4"/>
        <v>53991.50913</v>
      </c>
      <c r="H18" s="8">
        <f t="shared" si="5"/>
        <v>1143</v>
      </c>
      <c r="I18" s="46" t="s">
        <v>82</v>
      </c>
      <c r="J18" s="47" t="s">
        <v>83</v>
      </c>
      <c r="K18" s="46">
        <v>1143</v>
      </c>
      <c r="L18" s="46" t="s">
        <v>84</v>
      </c>
      <c r="M18" s="47" t="s">
        <v>59</v>
      </c>
      <c r="N18" s="47" t="s">
        <v>69</v>
      </c>
      <c r="O18" s="48" t="s">
        <v>61</v>
      </c>
      <c r="P18" s="49" t="s">
        <v>62</v>
      </c>
    </row>
    <row r="19" spans="1:16" ht="12.75" customHeight="1" thickBot="1" x14ac:dyDescent="0.25">
      <c r="A19" s="8" t="str">
        <f t="shared" si="0"/>
        <v>OEJV 0074 </v>
      </c>
      <c r="B19" s="3" t="str">
        <f t="shared" si="1"/>
        <v>I</v>
      </c>
      <c r="C19" s="8">
        <f t="shared" si="2"/>
        <v>53991.510520000003</v>
      </c>
      <c r="D19" s="10" t="str">
        <f t="shared" si="3"/>
        <v>vis</v>
      </c>
      <c r="E19" s="45">
        <f>VLOOKUP(C19,Active!C$21:E$973,3,FALSE)</f>
        <v>2266.7505711000435</v>
      </c>
      <c r="F19" s="3" t="s">
        <v>54</v>
      </c>
      <c r="G19" s="10" t="str">
        <f t="shared" si="4"/>
        <v>53991.51052</v>
      </c>
      <c r="H19" s="8">
        <f t="shared" si="5"/>
        <v>1143</v>
      </c>
      <c r="I19" s="46" t="s">
        <v>85</v>
      </c>
      <c r="J19" s="47" t="s">
        <v>86</v>
      </c>
      <c r="K19" s="46">
        <v>1143</v>
      </c>
      <c r="L19" s="46" t="s">
        <v>87</v>
      </c>
      <c r="M19" s="47" t="s">
        <v>59</v>
      </c>
      <c r="N19" s="47" t="s">
        <v>54</v>
      </c>
      <c r="O19" s="48" t="s">
        <v>61</v>
      </c>
      <c r="P19" s="49" t="s">
        <v>62</v>
      </c>
    </row>
    <row r="20" spans="1:16" ht="12.75" customHeight="1" thickBot="1" x14ac:dyDescent="0.25">
      <c r="A20" s="8" t="str">
        <f t="shared" si="0"/>
        <v>OEJV 0074 </v>
      </c>
      <c r="B20" s="3" t="str">
        <f t="shared" si="1"/>
        <v>I</v>
      </c>
      <c r="C20" s="8">
        <f t="shared" si="2"/>
        <v>54034.547359999997</v>
      </c>
      <c r="D20" s="10" t="str">
        <f t="shared" si="3"/>
        <v>vis</v>
      </c>
      <c r="E20" s="45">
        <f>VLOOKUP(C20,Active!C$21:E$973,3,FALSE)</f>
        <v>2299.7416328095055</v>
      </c>
      <c r="F20" s="3" t="s">
        <v>54</v>
      </c>
      <c r="G20" s="10" t="str">
        <f t="shared" si="4"/>
        <v>54034.54736</v>
      </c>
      <c r="H20" s="8">
        <f t="shared" si="5"/>
        <v>1176</v>
      </c>
      <c r="I20" s="46" t="s">
        <v>88</v>
      </c>
      <c r="J20" s="47" t="s">
        <v>89</v>
      </c>
      <c r="K20" s="46">
        <v>1176</v>
      </c>
      <c r="L20" s="46" t="s">
        <v>90</v>
      </c>
      <c r="M20" s="47" t="s">
        <v>59</v>
      </c>
      <c r="N20" s="47" t="s">
        <v>69</v>
      </c>
      <c r="O20" s="48" t="s">
        <v>61</v>
      </c>
      <c r="P20" s="49" t="s">
        <v>62</v>
      </c>
    </row>
    <row r="21" spans="1:16" ht="12.75" customHeight="1" thickBot="1" x14ac:dyDescent="0.25">
      <c r="A21" s="8" t="str">
        <f t="shared" si="0"/>
        <v>OEJV 0074 </v>
      </c>
      <c r="B21" s="3" t="str">
        <f t="shared" si="1"/>
        <v>I</v>
      </c>
      <c r="C21" s="8">
        <f t="shared" si="2"/>
        <v>54034.550139999999</v>
      </c>
      <c r="D21" s="10" t="str">
        <f t="shared" si="3"/>
        <v>vis</v>
      </c>
      <c r="E21" s="45">
        <f>VLOOKUP(C21,Active!C$21:E$973,3,FALSE)</f>
        <v>2299.7437638942142</v>
      </c>
      <c r="F21" s="3" t="s">
        <v>54</v>
      </c>
      <c r="G21" s="10" t="str">
        <f t="shared" si="4"/>
        <v>54034.55014</v>
      </c>
      <c r="H21" s="8">
        <f t="shared" si="5"/>
        <v>1176</v>
      </c>
      <c r="I21" s="46" t="s">
        <v>91</v>
      </c>
      <c r="J21" s="47" t="s">
        <v>92</v>
      </c>
      <c r="K21" s="46">
        <v>1176</v>
      </c>
      <c r="L21" s="46" t="s">
        <v>93</v>
      </c>
      <c r="M21" s="47" t="s">
        <v>59</v>
      </c>
      <c r="N21" s="47" t="s">
        <v>54</v>
      </c>
      <c r="O21" s="48" t="s">
        <v>61</v>
      </c>
      <c r="P21" s="49" t="s">
        <v>62</v>
      </c>
    </row>
    <row r="22" spans="1:16" ht="12.75" customHeight="1" thickBot="1" x14ac:dyDescent="0.25">
      <c r="A22" s="8" t="str">
        <f t="shared" si="0"/>
        <v>OEJV 0074 </v>
      </c>
      <c r="B22" s="3" t="str">
        <f t="shared" si="1"/>
        <v>I</v>
      </c>
      <c r="C22" s="8">
        <f t="shared" si="2"/>
        <v>54034.557090000002</v>
      </c>
      <c r="D22" s="10" t="str">
        <f t="shared" si="3"/>
        <v>vis</v>
      </c>
      <c r="E22" s="45">
        <f>VLOOKUP(C22,Active!C$21:E$973,3,FALSE)</f>
        <v>2299.7490916059833</v>
      </c>
      <c r="F22" s="3" t="s">
        <v>54</v>
      </c>
      <c r="G22" s="10" t="str">
        <f t="shared" si="4"/>
        <v>54034.55709</v>
      </c>
      <c r="H22" s="8">
        <f t="shared" si="5"/>
        <v>1176</v>
      </c>
      <c r="I22" s="46" t="s">
        <v>94</v>
      </c>
      <c r="J22" s="47" t="s">
        <v>95</v>
      </c>
      <c r="K22" s="46">
        <v>1176</v>
      </c>
      <c r="L22" s="46" t="s">
        <v>96</v>
      </c>
      <c r="M22" s="47" t="s">
        <v>59</v>
      </c>
      <c r="N22" s="47" t="s">
        <v>60</v>
      </c>
      <c r="O22" s="48" t="s">
        <v>61</v>
      </c>
      <c r="P22" s="49" t="s">
        <v>62</v>
      </c>
    </row>
    <row r="23" spans="1:16" ht="12.75" customHeight="1" thickBot="1" x14ac:dyDescent="0.25">
      <c r="A23" s="8" t="str">
        <f t="shared" si="0"/>
        <v>OEJV 0074 </v>
      </c>
      <c r="B23" s="3" t="str">
        <f t="shared" si="1"/>
        <v>I</v>
      </c>
      <c r="C23" s="8">
        <f t="shared" si="2"/>
        <v>54205.425499999998</v>
      </c>
      <c r="D23" s="10" t="str">
        <f t="shared" si="3"/>
        <v>vis</v>
      </c>
      <c r="E23" s="45">
        <f>VLOOKUP(C23,Active!C$21:E$973,3,FALSE)</f>
        <v>2430.732924492143</v>
      </c>
      <c r="F23" s="3" t="s">
        <v>54</v>
      </c>
      <c r="G23" s="10" t="str">
        <f t="shared" si="4"/>
        <v>54205.42550</v>
      </c>
      <c r="H23" s="8">
        <f t="shared" si="5"/>
        <v>1307</v>
      </c>
      <c r="I23" s="46" t="s">
        <v>97</v>
      </c>
      <c r="J23" s="47" t="s">
        <v>98</v>
      </c>
      <c r="K23" s="46">
        <v>1307</v>
      </c>
      <c r="L23" s="46" t="s">
        <v>99</v>
      </c>
      <c r="M23" s="47" t="s">
        <v>59</v>
      </c>
      <c r="N23" s="47" t="s">
        <v>69</v>
      </c>
      <c r="O23" s="48" t="s">
        <v>61</v>
      </c>
      <c r="P23" s="49" t="s">
        <v>62</v>
      </c>
    </row>
    <row r="24" spans="1:16" ht="12.75" customHeight="1" thickBot="1" x14ac:dyDescent="0.25">
      <c r="A24" s="8" t="str">
        <f t="shared" si="0"/>
        <v>OEJV 0074 </v>
      </c>
      <c r="B24" s="3" t="str">
        <f t="shared" si="1"/>
        <v>I</v>
      </c>
      <c r="C24" s="8">
        <f t="shared" si="2"/>
        <v>54205.426700000004</v>
      </c>
      <c r="D24" s="10" t="str">
        <f t="shared" si="3"/>
        <v>vis</v>
      </c>
      <c r="E24" s="45">
        <f>VLOOKUP(C24,Active!C$21:E$973,3,FALSE)</f>
        <v>2430.7338443848271</v>
      </c>
      <c r="F24" s="3" t="s">
        <v>54</v>
      </c>
      <c r="G24" s="10" t="str">
        <f t="shared" si="4"/>
        <v>54205.42670</v>
      </c>
      <c r="H24" s="8">
        <f t="shared" si="5"/>
        <v>1307</v>
      </c>
      <c r="I24" s="46" t="s">
        <v>100</v>
      </c>
      <c r="J24" s="47" t="s">
        <v>101</v>
      </c>
      <c r="K24" s="46">
        <v>1307</v>
      </c>
      <c r="L24" s="46" t="s">
        <v>102</v>
      </c>
      <c r="M24" s="47" t="s">
        <v>59</v>
      </c>
      <c r="N24" s="47" t="s">
        <v>54</v>
      </c>
      <c r="O24" s="48" t="s">
        <v>61</v>
      </c>
      <c r="P24" s="49" t="s">
        <v>62</v>
      </c>
    </row>
    <row r="25" spans="1:16" ht="12.75" customHeight="1" thickBot="1" x14ac:dyDescent="0.25">
      <c r="A25" s="8" t="str">
        <f t="shared" si="0"/>
        <v>OEJV 0074 </v>
      </c>
      <c r="B25" s="3" t="str">
        <f t="shared" si="1"/>
        <v>I</v>
      </c>
      <c r="C25" s="8">
        <f t="shared" si="2"/>
        <v>54205.4277</v>
      </c>
      <c r="D25" s="10" t="str">
        <f t="shared" si="3"/>
        <v>vis</v>
      </c>
      <c r="E25" s="45">
        <f>VLOOKUP(C25,Active!C$21:E$973,3,FALSE)</f>
        <v>2430.7346109620571</v>
      </c>
      <c r="F25" s="3" t="s">
        <v>54</v>
      </c>
      <c r="G25" s="10" t="str">
        <f t="shared" si="4"/>
        <v>54205.42770</v>
      </c>
      <c r="H25" s="8">
        <f t="shared" si="5"/>
        <v>1307</v>
      </c>
      <c r="I25" s="46" t="s">
        <v>103</v>
      </c>
      <c r="J25" s="47" t="s">
        <v>104</v>
      </c>
      <c r="K25" s="46">
        <v>1307</v>
      </c>
      <c r="L25" s="46" t="s">
        <v>105</v>
      </c>
      <c r="M25" s="47" t="s">
        <v>59</v>
      </c>
      <c r="N25" s="47" t="s">
        <v>60</v>
      </c>
      <c r="O25" s="48" t="s">
        <v>61</v>
      </c>
      <c r="P25" s="49" t="s">
        <v>62</v>
      </c>
    </row>
    <row r="26" spans="1:16" ht="12.75" customHeight="1" thickBot="1" x14ac:dyDescent="0.25">
      <c r="A26" s="8" t="str">
        <f t="shared" si="0"/>
        <v>BAVM 220 </v>
      </c>
      <c r="B26" s="3" t="str">
        <f t="shared" si="1"/>
        <v>I</v>
      </c>
      <c r="C26" s="8">
        <f t="shared" si="2"/>
        <v>55645.438600000001</v>
      </c>
      <c r="D26" s="10" t="str">
        <f t="shared" si="3"/>
        <v>vis</v>
      </c>
      <c r="E26" s="45">
        <f>VLOOKUP(C26,Active!C$21:E$973,3,FALSE)</f>
        <v>3534.6141816788077</v>
      </c>
      <c r="F26" s="3" t="s">
        <v>54</v>
      </c>
      <c r="G26" s="10" t="str">
        <f t="shared" si="4"/>
        <v>55645.4386</v>
      </c>
      <c r="H26" s="8">
        <f t="shared" si="5"/>
        <v>2411</v>
      </c>
      <c r="I26" s="46" t="s">
        <v>106</v>
      </c>
      <c r="J26" s="47" t="s">
        <v>107</v>
      </c>
      <c r="K26" s="46">
        <v>2411</v>
      </c>
      <c r="L26" s="46" t="s">
        <v>108</v>
      </c>
      <c r="M26" s="47" t="s">
        <v>59</v>
      </c>
      <c r="N26" s="47" t="s">
        <v>54</v>
      </c>
      <c r="O26" s="48" t="s">
        <v>109</v>
      </c>
      <c r="P26" s="49" t="s">
        <v>110</v>
      </c>
    </row>
    <row r="27" spans="1:16" ht="12.75" customHeight="1" thickBot="1" x14ac:dyDescent="0.25">
      <c r="A27" s="8" t="str">
        <f t="shared" si="0"/>
        <v>BAVM 231 </v>
      </c>
      <c r="B27" s="3" t="str">
        <f t="shared" si="1"/>
        <v>I</v>
      </c>
      <c r="C27" s="8">
        <f t="shared" si="2"/>
        <v>56219.351799999997</v>
      </c>
      <c r="D27" s="10" t="str">
        <f t="shared" si="3"/>
        <v>vis</v>
      </c>
      <c r="E27" s="45">
        <f>VLOOKUP(C27,Active!C$21:E$973,3,FALSE)</f>
        <v>3974.5629743196628</v>
      </c>
      <c r="F27" s="3" t="s">
        <v>54</v>
      </c>
      <c r="G27" s="10" t="str">
        <f t="shared" si="4"/>
        <v>56219.3518</v>
      </c>
      <c r="H27" s="8">
        <f t="shared" si="5"/>
        <v>2851</v>
      </c>
      <c r="I27" s="46" t="s">
        <v>111</v>
      </c>
      <c r="J27" s="47" t="s">
        <v>112</v>
      </c>
      <c r="K27" s="46">
        <v>2851</v>
      </c>
      <c r="L27" s="46" t="s">
        <v>113</v>
      </c>
      <c r="M27" s="47" t="s">
        <v>59</v>
      </c>
      <c r="N27" s="47" t="s">
        <v>114</v>
      </c>
      <c r="O27" s="48" t="s">
        <v>109</v>
      </c>
      <c r="P27" s="49" t="s">
        <v>115</v>
      </c>
    </row>
    <row r="28" spans="1:16" ht="12.75" customHeight="1" thickBot="1" x14ac:dyDescent="0.25">
      <c r="A28" s="8" t="str">
        <f t="shared" si="0"/>
        <v>BAVM 232 </v>
      </c>
      <c r="B28" s="3" t="str">
        <f t="shared" si="1"/>
        <v>I</v>
      </c>
      <c r="C28" s="8">
        <f t="shared" si="2"/>
        <v>56485.448400000001</v>
      </c>
      <c r="D28" s="10" t="str">
        <f t="shared" si="3"/>
        <v>vis</v>
      </c>
      <c r="E28" s="45">
        <f>VLOOKUP(C28,Active!C$21:E$973,3,FALSE)</f>
        <v>4178.5465695668872</v>
      </c>
      <c r="F28" s="3" t="s">
        <v>54</v>
      </c>
      <c r="G28" s="10" t="str">
        <f t="shared" si="4"/>
        <v>56485.4484</v>
      </c>
      <c r="H28" s="8">
        <f t="shared" si="5"/>
        <v>3055</v>
      </c>
      <c r="I28" s="46" t="s">
        <v>116</v>
      </c>
      <c r="J28" s="47" t="s">
        <v>117</v>
      </c>
      <c r="K28" s="46" t="s">
        <v>118</v>
      </c>
      <c r="L28" s="46" t="s">
        <v>119</v>
      </c>
      <c r="M28" s="47" t="s">
        <v>59</v>
      </c>
      <c r="N28" s="47" t="s">
        <v>114</v>
      </c>
      <c r="O28" s="48" t="s">
        <v>109</v>
      </c>
      <c r="P28" s="49" t="s">
        <v>120</v>
      </c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</sheetData>
  <phoneticPr fontId="7" type="noConversion"/>
  <hyperlinks>
    <hyperlink ref="P11" r:id="rId1" display="http://var.astro.cz/oejv/issues/oejv0074.pdf" xr:uid="{00000000-0004-0000-0100-000000000000}"/>
    <hyperlink ref="P12" r:id="rId2" display="http://var.astro.cz/oejv/issues/oejv0074.pdf" xr:uid="{00000000-0004-0000-0100-000001000000}"/>
    <hyperlink ref="P13" r:id="rId3" display="http://var.astro.cz/oejv/issues/oejv0074.pdf" xr:uid="{00000000-0004-0000-0100-000002000000}"/>
    <hyperlink ref="P14" r:id="rId4" display="http://var.astro.cz/oejv/issues/oejv0074.pdf" xr:uid="{00000000-0004-0000-0100-000003000000}"/>
    <hyperlink ref="P15" r:id="rId5" display="http://var.astro.cz/oejv/issues/oejv0074.pdf" xr:uid="{00000000-0004-0000-0100-000004000000}"/>
    <hyperlink ref="P16" r:id="rId6" display="http://var.astro.cz/oejv/issues/oejv0074.pdf" xr:uid="{00000000-0004-0000-0100-000005000000}"/>
    <hyperlink ref="P17" r:id="rId7" display="http://var.astro.cz/oejv/issues/oejv0074.pdf" xr:uid="{00000000-0004-0000-0100-000006000000}"/>
    <hyperlink ref="P18" r:id="rId8" display="http://var.astro.cz/oejv/issues/oejv0074.pdf" xr:uid="{00000000-0004-0000-0100-000007000000}"/>
    <hyperlink ref="P19" r:id="rId9" display="http://var.astro.cz/oejv/issues/oejv0074.pdf" xr:uid="{00000000-0004-0000-0100-000008000000}"/>
    <hyperlink ref="P20" r:id="rId10" display="http://var.astro.cz/oejv/issues/oejv0074.pdf" xr:uid="{00000000-0004-0000-0100-000009000000}"/>
    <hyperlink ref="P21" r:id="rId11" display="http://var.astro.cz/oejv/issues/oejv0074.pdf" xr:uid="{00000000-0004-0000-0100-00000A000000}"/>
    <hyperlink ref="P22" r:id="rId12" display="http://var.astro.cz/oejv/issues/oejv0074.pdf" xr:uid="{00000000-0004-0000-0100-00000B000000}"/>
    <hyperlink ref="P23" r:id="rId13" display="http://var.astro.cz/oejv/issues/oejv0074.pdf" xr:uid="{00000000-0004-0000-0100-00000C000000}"/>
    <hyperlink ref="P24" r:id="rId14" display="http://var.astro.cz/oejv/issues/oejv0074.pdf" xr:uid="{00000000-0004-0000-0100-00000D000000}"/>
    <hyperlink ref="P25" r:id="rId15" display="http://var.astro.cz/oejv/issues/oejv0074.pdf" xr:uid="{00000000-0004-0000-0100-00000E000000}"/>
    <hyperlink ref="P26" r:id="rId16" display="http://www.bav-astro.de/sfs/BAVM_link.php?BAVMnr=220" xr:uid="{00000000-0004-0000-0100-00000F000000}"/>
    <hyperlink ref="P27" r:id="rId17" display="http://www.bav-astro.de/sfs/BAVM_link.php?BAVMnr=231" xr:uid="{00000000-0004-0000-0100-000010000000}"/>
    <hyperlink ref="P28" r:id="rId18" display="http://www.bav-astro.de/sfs/BAVM_link.php?BAVMnr=232" xr:uid="{00000000-0004-0000-0100-00001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2023-08-06T23:47:25Z</dcterms:modified>
</cp:coreProperties>
</file>