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6FEC01E-6974-480B-912D-FAB0A0398E57}" xr6:coauthVersionLast="47" xr6:coauthVersionMax="47" xr10:uidLastSave="{00000000-0000-0000-0000-000000000000}"/>
  <bookViews>
    <workbookView xWindow="540" yWindow="0" windowWidth="14325" windowHeight="1477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K45" i="1" s="1"/>
  <c r="Q45" i="1"/>
  <c r="E22" i="1"/>
  <c r="F22" i="1" s="1"/>
  <c r="G22" i="1" s="1"/>
  <c r="K22" i="1" s="1"/>
  <c r="Q22" i="1"/>
  <c r="C22" i="1"/>
  <c r="Q43" i="1"/>
  <c r="Q44" i="1"/>
  <c r="E37" i="1"/>
  <c r="F37" i="1"/>
  <c r="G37" i="1" s="1"/>
  <c r="K37" i="1" s="1"/>
  <c r="Q42" i="1"/>
  <c r="Q40" i="1"/>
  <c r="Q41" i="1"/>
  <c r="E26" i="1"/>
  <c r="E14" i="2" s="1"/>
  <c r="E23" i="1"/>
  <c r="F23" i="1"/>
  <c r="G23" i="1" s="1"/>
  <c r="J23" i="1" s="1"/>
  <c r="E29" i="1"/>
  <c r="F29" i="1" s="1"/>
  <c r="G29" i="1" s="1"/>
  <c r="J29" i="1" s="1"/>
  <c r="D9" i="1"/>
  <c r="C9" i="1"/>
  <c r="Q27" i="1"/>
  <c r="G22" i="2"/>
  <c r="C22" i="2"/>
  <c r="G26" i="2"/>
  <c r="C26" i="2"/>
  <c r="E26" i="2"/>
  <c r="G25" i="2"/>
  <c r="C25" i="2"/>
  <c r="E25" i="2"/>
  <c r="G24" i="2"/>
  <c r="C24" i="2"/>
  <c r="E24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23" i="2"/>
  <c r="C23" i="2"/>
  <c r="G14" i="2"/>
  <c r="C14" i="2"/>
  <c r="G13" i="2"/>
  <c r="C13" i="2"/>
  <c r="G12" i="2"/>
  <c r="C12" i="2"/>
  <c r="G11" i="2"/>
  <c r="C11" i="2"/>
  <c r="E11" i="2"/>
  <c r="H22" i="2"/>
  <c r="B22" i="2"/>
  <c r="D22" i="2"/>
  <c r="A22" i="2"/>
  <c r="H26" i="2"/>
  <c r="D26" i="2"/>
  <c r="B26" i="2"/>
  <c r="A26" i="2"/>
  <c r="H25" i="2"/>
  <c r="B25" i="2"/>
  <c r="D25" i="2"/>
  <c r="A25" i="2"/>
  <c r="H24" i="2"/>
  <c r="D24" i="2"/>
  <c r="B24" i="2"/>
  <c r="A24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23" i="2"/>
  <c r="D23" i="2"/>
  <c r="B23" i="2"/>
  <c r="A23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35" i="1"/>
  <c r="Q36" i="1"/>
  <c r="Q37" i="1"/>
  <c r="Q39" i="1"/>
  <c r="Q31" i="1"/>
  <c r="Q38" i="1"/>
  <c r="Q34" i="1"/>
  <c r="Q32" i="1"/>
  <c r="Q30" i="1"/>
  <c r="Q29" i="1"/>
  <c r="Q28" i="1"/>
  <c r="Q26" i="1"/>
  <c r="Q25" i="1"/>
  <c r="Q24" i="1"/>
  <c r="Q33" i="1"/>
  <c r="Q23" i="1"/>
  <c r="F16" i="1"/>
  <c r="C17" i="1"/>
  <c r="Q21" i="1"/>
  <c r="E13" i="2"/>
  <c r="E34" i="1"/>
  <c r="F34" i="1" s="1"/>
  <c r="G34" i="1" s="1"/>
  <c r="J34" i="1" s="1"/>
  <c r="E44" i="1"/>
  <c r="F44" i="1" s="1"/>
  <c r="G44" i="1" s="1"/>
  <c r="K44" i="1" s="1"/>
  <c r="E39" i="1"/>
  <c r="F39" i="1" s="1"/>
  <c r="G39" i="1" s="1"/>
  <c r="K39" i="1" s="1"/>
  <c r="E21" i="1"/>
  <c r="F21" i="1" s="1"/>
  <c r="G21" i="1" s="1"/>
  <c r="H21" i="1" s="1"/>
  <c r="E25" i="1"/>
  <c r="F25" i="1" s="1"/>
  <c r="G25" i="1" s="1"/>
  <c r="K25" i="1" s="1"/>
  <c r="E36" i="1"/>
  <c r="F36" i="1" s="1"/>
  <c r="G36" i="1" s="1"/>
  <c r="K36" i="1" s="1"/>
  <c r="E42" i="1"/>
  <c r="F42" i="1" s="1"/>
  <c r="G42" i="1" s="1"/>
  <c r="K42" i="1" s="1"/>
  <c r="E33" i="1"/>
  <c r="F33" i="1" s="1"/>
  <c r="G33" i="1" s="1"/>
  <c r="K33" i="1" s="1"/>
  <c r="E41" i="1"/>
  <c r="F41" i="1" s="1"/>
  <c r="G41" i="1" s="1"/>
  <c r="K41" i="1" s="1"/>
  <c r="E43" i="1"/>
  <c r="F43" i="1" s="1"/>
  <c r="G43" i="1" s="1"/>
  <c r="K43" i="1" s="1"/>
  <c r="E27" i="1"/>
  <c r="F27" i="1" s="1"/>
  <c r="G27" i="1" s="1"/>
  <c r="K27" i="1" s="1"/>
  <c r="E24" i="1"/>
  <c r="F24" i="1" s="1"/>
  <c r="G24" i="1" s="1"/>
  <c r="K24" i="1" s="1"/>
  <c r="E38" i="1"/>
  <c r="E22" i="2" s="1"/>
  <c r="E30" i="1"/>
  <c r="E17" i="2" s="1"/>
  <c r="E35" i="1"/>
  <c r="F35" i="1" s="1"/>
  <c r="G35" i="1" s="1"/>
  <c r="K35" i="1" s="1"/>
  <c r="E28" i="1"/>
  <c r="E15" i="2" s="1"/>
  <c r="F28" i="1"/>
  <c r="G28" i="1" s="1"/>
  <c r="K28" i="1" s="1"/>
  <c r="E31" i="1"/>
  <c r="E18" i="2" s="1"/>
  <c r="E32" i="1"/>
  <c r="E19" i="2" s="1"/>
  <c r="F32" i="1"/>
  <c r="G32" i="1" s="1"/>
  <c r="K32" i="1" s="1"/>
  <c r="E40" i="1"/>
  <c r="F40" i="1" s="1"/>
  <c r="G40" i="1" s="1"/>
  <c r="K40" i="1" s="1"/>
  <c r="E12" i="2"/>
  <c r="E21" i="2"/>
  <c r="F38" i="1" l="1"/>
  <c r="G38" i="1" s="1"/>
  <c r="K38" i="1" s="1"/>
  <c r="F26" i="1"/>
  <c r="G26" i="1" s="1"/>
  <c r="E16" i="2"/>
  <c r="F31" i="1"/>
  <c r="G31" i="1" s="1"/>
  <c r="K31" i="1" s="1"/>
  <c r="F30" i="1"/>
  <c r="G30" i="1" s="1"/>
  <c r="J30" i="1" s="1"/>
  <c r="E23" i="2"/>
  <c r="E20" i="2"/>
  <c r="F17" i="1"/>
  <c r="C11" i="1"/>
  <c r="C12" i="1"/>
  <c r="C16" i="1" l="1"/>
  <c r="D18" i="1" s="1"/>
  <c r="O23" i="1"/>
  <c r="O27" i="1"/>
  <c r="O30" i="1"/>
  <c r="O43" i="1"/>
  <c r="O24" i="1"/>
  <c r="O25" i="1"/>
  <c r="O32" i="1"/>
  <c r="O34" i="1"/>
  <c r="O40" i="1"/>
  <c r="O26" i="1"/>
  <c r="O29" i="1"/>
  <c r="O44" i="1"/>
  <c r="O36" i="1"/>
  <c r="O39" i="1"/>
  <c r="O28" i="1"/>
  <c r="C15" i="1"/>
  <c r="C18" i="1" s="1"/>
  <c r="O42" i="1"/>
  <c r="O33" i="1"/>
  <c r="O22" i="1"/>
  <c r="O31" i="1"/>
  <c r="O21" i="1"/>
  <c r="O37" i="1"/>
  <c r="O45" i="1"/>
  <c r="O41" i="1"/>
  <c r="O35" i="1"/>
  <c r="O38" i="1"/>
  <c r="K26" i="1"/>
  <c r="F18" i="1" l="1"/>
  <c r="F19" i="1" s="1"/>
</calcChain>
</file>

<file path=xl/sharedStrings.xml><?xml version="1.0" encoding="utf-8"?>
<sst xmlns="http://schemas.openxmlformats.org/spreadsheetml/2006/main" count="244" uniqueCount="140">
  <si>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</si>
  <si>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</si>
  <si>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</si>
  <si>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</si>
  <si>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</si>
  <si>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</si>
  <si>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</si>
  <si>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</si>
  <si>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</si>
  <si>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</si>
  <si>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</si>
  <si>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</si>
  <si>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</si>
  <si>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</si>
  <si>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</si>
  <si>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</si>
  <si>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</si>
  <si>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</si>
  <si>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</si>
  <si>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</si>
  <si>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</si>
  <si>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</si>
  <si>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</si>
  <si>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</si>
  <si>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</si>
  <si>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</si>
  <si>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</si>
  <si>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</si>
  <si>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</si>
  <si>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</si>
  <si>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</si>
  <si>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</si>
  <si>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</si>
  <si>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</si>
  <si>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</si>
  <si>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</si>
  <si>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</si>
  <si>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</si>
  <si>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6010</t>
  </si>
  <si>
    <t>II</t>
  </si>
  <si>
    <t xml:space="preserve">EW        </t>
  </si>
  <si>
    <t>OEJV 0160</t>
  </si>
  <si>
    <t>I</t>
  </si>
  <si>
    <t>IBVS 6070</t>
  </si>
  <si>
    <t>IBVS 6084</t>
  </si>
  <si>
    <t>IBVS 6092</t>
  </si>
  <si>
    <t>IBVS 6094</t>
  </si>
  <si>
    <t>ii</t>
  </si>
  <si>
    <t>V0737 Cep / GSC 4252-0821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</si>
  <si>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</si>
  <si>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</si>
  <si>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</si>
  <si>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</si>
  <si>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</si>
  <si>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</si>
  <si>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</si>
  <si>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</si>
  <si>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</si>
  <si>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</si>
  <si>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</si>
  <si>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</si>
  <si>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2455685.4877 </t>
  </si>
  <si>
    <t> 03.05.2011 23:42 </t>
  </si>
  <si>
    <t> 0.0047 </t>
  </si>
  <si>
    <t>C </t>
  </si>
  <si>
    <t>-I</t>
  </si>
  <si>
    <t> F.Agerer </t>
  </si>
  <si>
    <t>BAVM 220 </t>
  </si>
  <si>
    <t>2455692.50696 </t>
  </si>
  <si>
    <t> 11.05.2011 00:10 </t>
  </si>
  <si>
    <t>14205</t>
  </si>
  <si>
    <t> 0.00319 </t>
  </si>
  <si>
    <t> K.Ho?kova </t>
  </si>
  <si>
    <t>OEJV 0160 </t>
  </si>
  <si>
    <t>2455693.55347 </t>
  </si>
  <si>
    <t> 12.05.2011 01:16 </t>
  </si>
  <si>
    <t>14208.5</t>
  </si>
  <si>
    <t> 0.00405 </t>
  </si>
  <si>
    <t>2455707.44496 </t>
  </si>
  <si>
    <t> 25.05.2011 22:40 </t>
  </si>
  <si>
    <t>14255</t>
  </si>
  <si>
    <t> 0.00344 </t>
  </si>
  <si>
    <t>2455787.3664 </t>
  </si>
  <si>
    <t> 13.08.2011 20:47 </t>
  </si>
  <si>
    <t>14522.5</t>
  </si>
  <si>
    <t> 0.0079 </t>
  </si>
  <si>
    <t>2455791.40016 </t>
  </si>
  <si>
    <t> 17.08.2011 21:36 </t>
  </si>
  <si>
    <t>14536</t>
  </si>
  <si>
    <t> 0.00848 </t>
  </si>
  <si>
    <t>2456072.3892 </t>
  </si>
  <si>
    <t> 24.05.2012 21:20 </t>
  </si>
  <si>
    <t>15476.5</t>
  </si>
  <si>
    <t> 0.0184 </t>
  </si>
  <si>
    <t>BAVM 231 </t>
  </si>
  <si>
    <t>2456072.5405 </t>
  </si>
  <si>
    <t> 25.05.2012 00:58 </t>
  </si>
  <si>
    <t>15477</t>
  </si>
  <si>
    <t> 0.0204 </t>
  </si>
  <si>
    <t>2456141.4078 </t>
  </si>
  <si>
    <t> 01.08.2012 21:47 </t>
  </si>
  <si>
    <t>15707.5</t>
  </si>
  <si>
    <t> 0.0246 </t>
  </si>
  <si>
    <t> P.Aceti </t>
  </si>
  <si>
    <t>IBVS 6094 </t>
  </si>
  <si>
    <t>2456141.40791 </t>
  </si>
  <si>
    <t> 0.02475 </t>
  </si>
  <si>
    <t>2456421.945 </t>
  </si>
  <si>
    <t> 09.05.2013 10:40 </t>
  </si>
  <si>
    <t>16646.5</t>
  </si>
  <si>
    <t> 0.031 </t>
  </si>
  <si>
    <t> R.Nelson </t>
  </si>
  <si>
    <t>IBVS 6092 </t>
  </si>
  <si>
    <t>2456490.5127 </t>
  </si>
  <si>
    <t> 17.07.2013 00:18 </t>
  </si>
  <si>
    <t>16876</t>
  </si>
  <si>
    <t> 0.0343 </t>
  </si>
  <si>
    <t>BAVM 232 </t>
  </si>
  <si>
    <t>2456508.43727 </t>
  </si>
  <si>
    <t> 03.08.2013 22:29 </t>
  </si>
  <si>
    <t>16936</t>
  </si>
  <si>
    <t> 0.03359 </t>
  </si>
  <si>
    <t>R</t>
  </si>
  <si>
    <t>2456519.3425 </t>
  </si>
  <si>
    <t> 14.08.2013 20:13 </t>
  </si>
  <si>
    <t>16972.5</t>
  </si>
  <si>
    <t>2456519.49229 </t>
  </si>
  <si>
    <t> 14.08.2013 23:48 </t>
  </si>
  <si>
    <t>16973</t>
  </si>
  <si>
    <t> 0.03468 </t>
  </si>
  <si>
    <t>2456530.39679 </t>
  </si>
  <si>
    <t> 25.08.2013 21:31 </t>
  </si>
  <si>
    <t>17009.5</t>
  </si>
  <si>
    <t> 0.03462 </t>
  </si>
  <si>
    <t> J.Jacobsen </t>
  </si>
  <si>
    <t>IBVS 6154</t>
  </si>
  <si>
    <t>OEJV 0179</t>
  </si>
  <si>
    <t>OEJV 0211</t>
  </si>
  <si>
    <t>IBVS 5686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</si>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</sst>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0" fillId="25" borderId="0" xfId="0" applyFill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9-4948-BE04-BC94123EA1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9-4948-BE04-BC94123EA1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">
                  <c:v>-5.650000020978041E-4</c:v>
                </c:pt>
                <c:pt idx="8">
                  <c:v>2.6000000070780516E-4</c:v>
                </c:pt>
                <c:pt idx="9">
                  <c:v>2.1775000059278682E-3</c:v>
                </c:pt>
                <c:pt idx="13">
                  <c:v>2.1425000013550743E-3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9-4948-BE04-BC94123EA1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0.13658249999571126</c:v>
                </c:pt>
                <c:pt idx="3">
                  <c:v>-2.2824999978183769E-3</c:v>
                </c:pt>
                <c:pt idx="4">
                  <c:v>-1.4500000033876859E-3</c:v>
                </c:pt>
                <c:pt idx="5">
                  <c:v>-2.5325000024167821E-3</c:v>
                </c:pt>
                <c:pt idx="6">
                  <c:v>-7.299999997485429E-4</c:v>
                </c:pt>
                <c:pt idx="7">
                  <c:v>-2.9750000248895958E-4</c:v>
                </c:pt>
                <c:pt idx="10">
                  <c:v>4.1449999989708886E-3</c:v>
                </c:pt>
                <c:pt idx="11">
                  <c:v>4.2549999998300336E-3</c:v>
                </c:pt>
                <c:pt idx="12">
                  <c:v>1.0099999999511056E-3</c:v>
                </c:pt>
                <c:pt idx="14">
                  <c:v>6.2500002968590707E-5</c:v>
                </c:pt>
                <c:pt idx="15">
                  <c:v>7.0000000414438546E-4</c:v>
                </c:pt>
                <c:pt idx="16">
                  <c:v>1.1075000002165325E-3</c:v>
                </c:pt>
                <c:pt idx="17">
                  <c:v>1.1049999957322143E-3</c:v>
                </c:pt>
                <c:pt idx="18">
                  <c:v>1.5004443121142685E-3</c:v>
                </c:pt>
                <c:pt idx="19">
                  <c:v>2.7824999997392297E-3</c:v>
                </c:pt>
                <c:pt idx="20">
                  <c:v>2.7824999997392297E-3</c:v>
                </c:pt>
                <c:pt idx="21">
                  <c:v>1.622499999939464E-3</c:v>
                </c:pt>
                <c:pt idx="22">
                  <c:v>0.14843749979627319</c:v>
                </c:pt>
                <c:pt idx="23">
                  <c:v>0.15143999980500666</c:v>
                </c:pt>
                <c:pt idx="24">
                  <c:v>0.14451749998261221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9-4948-BE04-BC94123EA1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79-4948-BE04-BC94123EA1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79-4948-BE04-BC94123EA1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79-4948-BE04-BC94123EA1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1.8679780959622826E-2</c:v>
                </c:pt>
                <c:pt idx="1">
                  <c:v>1.8679590025969625E-2</c:v>
                </c:pt>
                <c:pt idx="2">
                  <c:v>2.4095041231787129E-2</c:v>
                </c:pt>
                <c:pt idx="3">
                  <c:v>2.4104015113487705E-2</c:v>
                </c:pt>
                <c:pt idx="4">
                  <c:v>2.4105351649060133E-2</c:v>
                </c:pt>
                <c:pt idx="5">
                  <c:v>2.4123108478808077E-2</c:v>
                </c:pt>
                <c:pt idx="6">
                  <c:v>2.4225257983272075E-2</c:v>
                </c:pt>
                <c:pt idx="7">
                  <c:v>2.4230413191908579E-2</c:v>
                </c:pt>
                <c:pt idx="8">
                  <c:v>2.4589559393584801E-2</c:v>
                </c:pt>
                <c:pt idx="9">
                  <c:v>2.4589750327238005E-2</c:v>
                </c:pt>
                <c:pt idx="10">
                  <c:v>2.4677770741364926E-2</c:v>
                </c:pt>
                <c:pt idx="11">
                  <c:v>2.4677770741364926E-2</c:v>
                </c:pt>
                <c:pt idx="12">
                  <c:v>2.5036344142081536E-2</c:v>
                </c:pt>
                <c:pt idx="13">
                  <c:v>2.5123982688902053E-2</c:v>
                </c:pt>
                <c:pt idx="14">
                  <c:v>2.5146894727286501E-2</c:v>
                </c:pt>
                <c:pt idx="15">
                  <c:v>2.5160832883970374E-2</c:v>
                </c:pt>
                <c:pt idx="16">
                  <c:v>2.5161023817623578E-2</c:v>
                </c:pt>
                <c:pt idx="17">
                  <c:v>2.517496197430745E-2</c:v>
                </c:pt>
                <c:pt idx="18">
                  <c:v>2.6008960171501359E-2</c:v>
                </c:pt>
                <c:pt idx="19">
                  <c:v>2.6203903431422371E-2</c:v>
                </c:pt>
                <c:pt idx="20">
                  <c:v>2.6203903431422371E-2</c:v>
                </c:pt>
                <c:pt idx="21">
                  <c:v>2.6501759930420195E-2</c:v>
                </c:pt>
                <c:pt idx="22">
                  <c:v>2.6909212346356966E-2</c:v>
                </c:pt>
                <c:pt idx="23">
                  <c:v>2.691054888192939E-2</c:v>
                </c:pt>
                <c:pt idx="24">
                  <c:v>2.7132986587911741E-2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79-4948-BE04-BC94123E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6248"/>
        <c:axId val="1"/>
      </c:scatterChart>
      <c:valAx>
        <c:axId val="346446248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46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Cep - O-C Diagr.</a:t>
            </a:r>
          </a:p>
        </c:rich>
      </c:tx>
      <c:layout>
        <c:manualLayout>
          <c:xMode val="edge"/>
          <c:yMode val="edge"/>
          <c:x val="0.366366839280225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E-48E8-9B1A-12B37544F7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E-48E8-9B1A-12B37544F7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">
                  <c:v>-5.650000020978041E-4</c:v>
                </c:pt>
                <c:pt idx="8">
                  <c:v>2.6000000070780516E-4</c:v>
                </c:pt>
                <c:pt idx="9">
                  <c:v>2.1775000059278682E-3</c:v>
                </c:pt>
                <c:pt idx="13">
                  <c:v>2.1425000013550743E-3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8E-48E8-9B1A-12B37544F7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0.13658249999571126</c:v>
                </c:pt>
                <c:pt idx="3">
                  <c:v>-2.2824999978183769E-3</c:v>
                </c:pt>
                <c:pt idx="4">
                  <c:v>-1.4500000033876859E-3</c:v>
                </c:pt>
                <c:pt idx="5">
                  <c:v>-2.5325000024167821E-3</c:v>
                </c:pt>
                <c:pt idx="6">
                  <c:v>-7.299999997485429E-4</c:v>
                </c:pt>
                <c:pt idx="7">
                  <c:v>-2.9750000248895958E-4</c:v>
                </c:pt>
                <c:pt idx="10">
                  <c:v>4.1449999989708886E-3</c:v>
                </c:pt>
                <c:pt idx="11">
                  <c:v>4.2549999998300336E-3</c:v>
                </c:pt>
                <c:pt idx="12">
                  <c:v>1.0099999999511056E-3</c:v>
                </c:pt>
                <c:pt idx="14">
                  <c:v>6.2500002968590707E-5</c:v>
                </c:pt>
                <c:pt idx="15">
                  <c:v>7.0000000414438546E-4</c:v>
                </c:pt>
                <c:pt idx="16">
                  <c:v>1.1075000002165325E-3</c:v>
                </c:pt>
                <c:pt idx="17">
                  <c:v>1.1049999957322143E-3</c:v>
                </c:pt>
                <c:pt idx="18">
                  <c:v>1.5004443121142685E-3</c:v>
                </c:pt>
                <c:pt idx="19">
                  <c:v>2.7824999997392297E-3</c:v>
                </c:pt>
                <c:pt idx="20">
                  <c:v>2.7824999997392297E-3</c:v>
                </c:pt>
                <c:pt idx="21">
                  <c:v>1.622499999939464E-3</c:v>
                </c:pt>
                <c:pt idx="22">
                  <c:v>0.14843749979627319</c:v>
                </c:pt>
                <c:pt idx="23">
                  <c:v>0.15143999980500666</c:v>
                </c:pt>
                <c:pt idx="24">
                  <c:v>0.14451749998261221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8E-48E8-9B1A-12B37544F7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8E-48E8-9B1A-12B37544F7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8E-48E8-9B1A-12B37544F7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8E-48E8-9B1A-12B37544F7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1.8679780959622826E-2</c:v>
                </c:pt>
                <c:pt idx="1">
                  <c:v>1.8679590025969625E-2</c:v>
                </c:pt>
                <c:pt idx="2">
                  <c:v>2.4095041231787129E-2</c:v>
                </c:pt>
                <c:pt idx="3">
                  <c:v>2.4104015113487705E-2</c:v>
                </c:pt>
                <c:pt idx="4">
                  <c:v>2.4105351649060133E-2</c:v>
                </c:pt>
                <c:pt idx="5">
                  <c:v>2.4123108478808077E-2</c:v>
                </c:pt>
                <c:pt idx="6">
                  <c:v>2.4225257983272075E-2</c:v>
                </c:pt>
                <c:pt idx="7">
                  <c:v>2.4230413191908579E-2</c:v>
                </c:pt>
                <c:pt idx="8">
                  <c:v>2.4589559393584801E-2</c:v>
                </c:pt>
                <c:pt idx="9">
                  <c:v>2.4589750327238005E-2</c:v>
                </c:pt>
                <c:pt idx="10">
                  <c:v>2.4677770741364926E-2</c:v>
                </c:pt>
                <c:pt idx="11">
                  <c:v>2.4677770741364926E-2</c:v>
                </c:pt>
                <c:pt idx="12">
                  <c:v>2.5036344142081536E-2</c:v>
                </c:pt>
                <c:pt idx="13">
                  <c:v>2.5123982688902053E-2</c:v>
                </c:pt>
                <c:pt idx="14">
                  <c:v>2.5146894727286501E-2</c:v>
                </c:pt>
                <c:pt idx="15">
                  <c:v>2.5160832883970374E-2</c:v>
                </c:pt>
                <c:pt idx="16">
                  <c:v>2.5161023817623578E-2</c:v>
                </c:pt>
                <c:pt idx="17">
                  <c:v>2.517496197430745E-2</c:v>
                </c:pt>
                <c:pt idx="18">
                  <c:v>2.6008960171501359E-2</c:v>
                </c:pt>
                <c:pt idx="19">
                  <c:v>2.6203903431422371E-2</c:v>
                </c:pt>
                <c:pt idx="20">
                  <c:v>2.6203903431422371E-2</c:v>
                </c:pt>
                <c:pt idx="21">
                  <c:v>2.6501759930420195E-2</c:v>
                </c:pt>
                <c:pt idx="22">
                  <c:v>2.6909212346356966E-2</c:v>
                </c:pt>
                <c:pt idx="23">
                  <c:v>2.691054888192939E-2</c:v>
                </c:pt>
                <c:pt idx="24">
                  <c:v>2.7132986587911741E-2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8E-48E8-9B1A-12B37544F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8048"/>
        <c:axId val="1"/>
      </c:scatterChart>
      <c:valAx>
        <c:axId val="3464480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4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5557053116105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114300</xdr:colOff>
      <xdr:row>19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3564010-62E0-90F0-D986-B927B76FD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0</xdr:rowOff>
    </xdr:from>
    <xdr:to>
      <xdr:col>27</xdr:col>
      <xdr:colOff>38100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B9E8CF2-26EB-1626-A203-60BD5A539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231" TargetMode="External"/><Relationship Id="rId12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var.astro.cz/oejv/issues/oejv0160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22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bav-astro.de/sfs/BAVM_link.php?BAVMnr=22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www.konkoly.hu/cgi-bin/IBVS?609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25</v>
      </c>
      <c r="B2" s="12" t="s">
        <v>40</v>
      </c>
      <c r="D2" s="3"/>
    </row>
    <row r="3" spans="1:6" ht="13.5" thickBot="1" x14ac:dyDescent="0.25"/>
    <row r="4" spans="1:6" ht="14.25" thickTop="1" thickBot="1" x14ac:dyDescent="0.25">
      <c r="A4" s="5" t="s">
        <v>1</v>
      </c>
      <c r="C4" s="8">
        <v>51448.688999999998</v>
      </c>
      <c r="D4" s="9">
        <v>0.29875499999999999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2</v>
      </c>
    </row>
    <row r="7" spans="1:6" x14ac:dyDescent="0.2">
      <c r="A7" t="s">
        <v>3</v>
      </c>
      <c r="C7">
        <v>57961.7788</v>
      </c>
      <c r="D7" t="s">
        <v>139</v>
      </c>
    </row>
    <row r="8" spans="1:6" x14ac:dyDescent="0.2">
      <c r="A8" t="s">
        <v>4</v>
      </c>
      <c r="C8">
        <v>0.298765</v>
      </c>
      <c r="D8" t="s">
        <v>139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INTERCEPT(INDIRECT($D$9):G985,INDIRECT($C$9):F985)</f>
        <v>2.7004488239305628E-2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SLOPE(INDIRECT($D$9):G985,INDIRECT($C$9):F985)</f>
        <v>3.8186730640746789E-7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(C7+C11)+(C8+C12)*INT(MAX(F21:F3526))</f>
        <v>58062.190972795659</v>
      </c>
      <c r="E15" s="16" t="s">
        <v>35</v>
      </c>
      <c r="F15" s="13">
        <v>1</v>
      </c>
    </row>
    <row r="16" spans="1:6" x14ac:dyDescent="0.2">
      <c r="A16" s="18" t="s">
        <v>5</v>
      </c>
      <c r="B16" s="12"/>
      <c r="C16" s="19">
        <f ca="1">+C8+C12</f>
        <v>0.29876538186730639</v>
      </c>
      <c r="E16" s="16" t="s">
        <v>32</v>
      </c>
      <c r="F16" s="17">
        <f ca="1">NOW()+15018.5+$C$5/24</f>
        <v>60186.752585879629</v>
      </c>
    </row>
    <row r="17" spans="1:17" ht="13.5" thickBot="1" x14ac:dyDescent="0.25">
      <c r="A17" s="16" t="s">
        <v>29</v>
      </c>
      <c r="B17" s="12"/>
      <c r="C17" s="12">
        <f>COUNT(C21:C2184)</f>
        <v>25</v>
      </c>
      <c r="E17" s="16" t="s">
        <v>36</v>
      </c>
      <c r="F17" s="17">
        <f ca="1">ROUND(2*(F16-$C$7)/$C$8,0)/2+F15</f>
        <v>7448</v>
      </c>
    </row>
    <row r="18" spans="1:17" ht="14.25" thickTop="1" thickBot="1" x14ac:dyDescent="0.25">
      <c r="A18" s="18" t="s">
        <v>6</v>
      </c>
      <c r="B18" s="12"/>
      <c r="C18" s="21">
        <f ca="1">+C15</f>
        <v>58062.190972795659</v>
      </c>
      <c r="D18" s="22">
        <f ca="1">+C16</f>
        <v>0.29876538186730639</v>
      </c>
      <c r="E18" s="16" t="s">
        <v>37</v>
      </c>
      <c r="F18" s="25">
        <f ca="1">ROUND(2*(F16-$C$15)/$C$16,0)/2+F15</f>
        <v>7112</v>
      </c>
    </row>
    <row r="19" spans="1:17" ht="13.5" thickTop="1" x14ac:dyDescent="0.2">
      <c r="E19" s="16" t="s">
        <v>33</v>
      </c>
      <c r="F19" s="20">
        <f ca="1">+$C$15+$C$16*F18-15018.5-$C$5/24</f>
        <v>45168.906201969279</v>
      </c>
    </row>
    <row r="20" spans="1:17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s="28" t="s">
        <v>13</v>
      </c>
      <c r="B21" s="28"/>
      <c r="C21" s="29">
        <v>51448.688999999998</v>
      </c>
      <c r="D21" s="29" t="s">
        <v>15</v>
      </c>
      <c r="E21">
        <f>+(C21-C$7)/C$8</f>
        <v>-21800.042843037176</v>
      </c>
      <c r="F21">
        <f>ROUND(2*E21,0)/2</f>
        <v>-21800</v>
      </c>
      <c r="G21">
        <f>+C21-(C$7+F21*C$8)</f>
        <v>-1.2800000004062895E-2</v>
      </c>
      <c r="H21">
        <f>+G21</f>
        <v>-1.2800000004062895E-2</v>
      </c>
      <c r="O21">
        <f ca="1">+C$11+C$12*$F21</f>
        <v>1.8679780959622826E-2</v>
      </c>
      <c r="Q21" s="2">
        <f>+C21-15018.5</f>
        <v>36430.188999999998</v>
      </c>
    </row>
    <row r="22" spans="1:17" x14ac:dyDescent="0.2">
      <c r="A22" t="s">
        <v>138</v>
      </c>
      <c r="C22" s="10">
        <f>+$C$4</f>
        <v>51448.688999999998</v>
      </c>
      <c r="D22" s="10"/>
      <c r="E22">
        <f>+(C22-C$7)/C$8</f>
        <v>-21800.042843037176</v>
      </c>
      <c r="F22" s="65">
        <f>ROUND(2*E22,0)/2-0.5</f>
        <v>-21800.5</v>
      </c>
      <c r="G22">
        <f>+C22-(C$7+F22*C$8)</f>
        <v>0.13658249999571126</v>
      </c>
      <c r="K22">
        <f>+G22</f>
        <v>0.13658249999571126</v>
      </c>
      <c r="O22">
        <f ca="1">+C$11+C$12*$F22</f>
        <v>1.8679590025969625E-2</v>
      </c>
      <c r="Q22" s="2">
        <f>+C22-15018.5</f>
        <v>36430.188999999998</v>
      </c>
    </row>
    <row r="23" spans="1:17" x14ac:dyDescent="0.2">
      <c r="A23" s="30" t="s">
        <v>38</v>
      </c>
      <c r="B23" s="31" t="s">
        <v>39</v>
      </c>
      <c r="C23" s="30">
        <v>55685.487699999998</v>
      </c>
      <c r="D23" s="30">
        <v>5.9999999999999995E-4</v>
      </c>
      <c r="E23">
        <f>+(C23-C$7)/C$8</f>
        <v>-7619.0018911184452</v>
      </c>
      <c r="F23">
        <f>ROUND(2*E23,0)/2</f>
        <v>-7619</v>
      </c>
      <c r="G23">
        <f>+C23-(C$7+F23*C$8)</f>
        <v>-5.650000020978041E-4</v>
      </c>
      <c r="J23">
        <f>+G23</f>
        <v>-5.650000020978041E-4</v>
      </c>
      <c r="O23">
        <f ca="1">+C$11+C$12*$F23</f>
        <v>2.4095041231787129E-2</v>
      </c>
      <c r="Q23" s="2">
        <f>+C23-15018.5</f>
        <v>40666.987699999998</v>
      </c>
    </row>
    <row r="24" spans="1:17" x14ac:dyDescent="0.2">
      <c r="A24" s="33" t="s">
        <v>41</v>
      </c>
      <c r="B24" s="34" t="s">
        <v>42</v>
      </c>
      <c r="C24" s="29">
        <v>55692.506959999999</v>
      </c>
      <c r="D24" s="29">
        <v>1E-4</v>
      </c>
      <c r="E24">
        <f>+(C24-C$7)/C$8</f>
        <v>-7595.5076397837811</v>
      </c>
      <c r="F24">
        <f>ROUND(2*E24,0)/2</f>
        <v>-7595.5</v>
      </c>
      <c r="G24">
        <f>+C24-(C$7+F24*C$8)</f>
        <v>-2.2824999978183769E-3</v>
      </c>
      <c r="K24">
        <f>+G24</f>
        <v>-2.2824999978183769E-3</v>
      </c>
      <c r="O24">
        <f ca="1">+C$11+C$12*$F24</f>
        <v>2.4104015113487705E-2</v>
      </c>
      <c r="Q24" s="2">
        <f>+C24-15018.5</f>
        <v>40674.006959999999</v>
      </c>
    </row>
    <row r="25" spans="1:17" x14ac:dyDescent="0.2">
      <c r="A25" s="33" t="s">
        <v>41</v>
      </c>
      <c r="B25" s="34" t="s">
        <v>39</v>
      </c>
      <c r="C25" s="29">
        <v>55693.553469999999</v>
      </c>
      <c r="D25" s="29">
        <v>6.9999999999999999E-4</v>
      </c>
      <c r="E25">
        <f>+(C25-C$7)/C$8</f>
        <v>-7592.0048533128083</v>
      </c>
      <c r="F25">
        <f>ROUND(2*E25,0)/2</f>
        <v>-7592</v>
      </c>
      <c r="G25">
        <f>+C25-(C$7+F25*C$8)</f>
        <v>-1.4500000033876859E-3</v>
      </c>
      <c r="K25">
        <f>+G25</f>
        <v>-1.4500000033876859E-3</v>
      </c>
      <c r="O25">
        <f ca="1">+C$11+C$12*$F25</f>
        <v>2.4105351649060133E-2</v>
      </c>
      <c r="Q25" s="2">
        <f>+C25-15018.5</f>
        <v>40675.053469999999</v>
      </c>
    </row>
    <row r="26" spans="1:17" x14ac:dyDescent="0.2">
      <c r="A26" s="33" t="s">
        <v>41</v>
      </c>
      <c r="B26" s="34" t="s">
        <v>42</v>
      </c>
      <c r="C26" s="29">
        <v>55707.444960000001</v>
      </c>
      <c r="D26" s="29">
        <v>1E-4</v>
      </c>
      <c r="E26">
        <f>+(C26-C$7)/C$8</f>
        <v>-7545.508476561844</v>
      </c>
      <c r="F26">
        <f>ROUND(2*E26,0)/2</f>
        <v>-7545.5</v>
      </c>
      <c r="G26">
        <f>+C26-(C$7+F26*C$8)</f>
        <v>-2.5325000024167821E-3</v>
      </c>
      <c r="K26">
        <f>+G26</f>
        <v>-2.5325000024167821E-3</v>
      </c>
      <c r="O26">
        <f ca="1">+C$11+C$12*$F26</f>
        <v>2.4123108478808077E-2</v>
      </c>
      <c r="Q26" s="2">
        <f>+C26-15018.5</f>
        <v>40688.944960000001</v>
      </c>
    </row>
    <row r="27" spans="1:17" x14ac:dyDescent="0.2">
      <c r="A27" s="54" t="s">
        <v>67</v>
      </c>
      <c r="B27" s="54" t="s">
        <v>39</v>
      </c>
      <c r="C27" s="55">
        <v>55787.366399999999</v>
      </c>
      <c r="D27" s="55" t="s">
        <v>60</v>
      </c>
      <c r="E27">
        <f>+(C27-C$7)/C$8</f>
        <v>-7278.0024433919671</v>
      </c>
      <c r="F27">
        <f>ROUND(2*E27,0)/2</f>
        <v>-7278</v>
      </c>
      <c r="G27">
        <f>+C27-(C$7+F27*C$8)</f>
        <v>-7.299999997485429E-4</v>
      </c>
      <c r="K27">
        <f>+G27</f>
        <v>-7.299999997485429E-4</v>
      </c>
      <c r="O27">
        <f ca="1">+C$11+C$12*$F27</f>
        <v>2.4225257983272075E-2</v>
      </c>
      <c r="Q27" s="2">
        <f>+C27-15018.5</f>
        <v>40768.866399999999</v>
      </c>
    </row>
    <row r="28" spans="1:17" x14ac:dyDescent="0.2">
      <c r="A28" s="33" t="s">
        <v>41</v>
      </c>
      <c r="B28" s="34" t="s">
        <v>42</v>
      </c>
      <c r="C28" s="29">
        <v>55791.400159999997</v>
      </c>
      <c r="D28" s="29">
        <v>2.0000000000000001E-4</v>
      </c>
      <c r="E28">
        <f>+(C28-C$7)/C$8</f>
        <v>-7264.5009957659113</v>
      </c>
      <c r="F28">
        <f>ROUND(2*E28,0)/2</f>
        <v>-7264.5</v>
      </c>
      <c r="G28">
        <f>+C28-(C$7+F28*C$8)</f>
        <v>-2.9750000248895958E-4</v>
      </c>
      <c r="K28">
        <f>+G28</f>
        <v>-2.9750000248895958E-4</v>
      </c>
      <c r="O28">
        <f ca="1">+C$11+C$12*$F28</f>
        <v>2.4230413191908579E-2</v>
      </c>
      <c r="Q28" s="2">
        <f>+C28-15018.5</f>
        <v>40772.900159999997</v>
      </c>
    </row>
    <row r="29" spans="1:17" x14ac:dyDescent="0.2">
      <c r="A29" s="33" t="s">
        <v>43</v>
      </c>
      <c r="B29" s="34" t="s">
        <v>39</v>
      </c>
      <c r="C29" s="29">
        <v>56072.389199999998</v>
      </c>
      <c r="D29" s="29">
        <v>1.1999999999999999E-3</v>
      </c>
      <c r="E29">
        <f>+(C29-C$7)/C$8</f>
        <v>-6323.999129750815</v>
      </c>
      <c r="F29">
        <f>ROUND(2*E29,0)/2</f>
        <v>-6324</v>
      </c>
      <c r="G29">
        <f>+C29-(C$7+F29*C$8)</f>
        <v>2.6000000070780516E-4</v>
      </c>
      <c r="J29">
        <f>+G29</f>
        <v>2.6000000070780516E-4</v>
      </c>
      <c r="O29">
        <f ca="1">+C$11+C$12*$F29</f>
        <v>2.4589559393584801E-2</v>
      </c>
      <c r="Q29" s="2">
        <f>+C29-15018.5</f>
        <v>41053.889199999998</v>
      </c>
    </row>
    <row r="30" spans="1:17" x14ac:dyDescent="0.2">
      <c r="A30" s="33" t="s">
        <v>43</v>
      </c>
      <c r="B30" s="34" t="s">
        <v>42</v>
      </c>
      <c r="C30" s="29">
        <v>56072.540500000003</v>
      </c>
      <c r="D30" s="29">
        <v>1E-3</v>
      </c>
      <c r="E30">
        <f>+(C30-C$7)/C$8</f>
        <v>-6323.4927116630033</v>
      </c>
      <c r="F30">
        <f>ROUND(2*E30,0)/2</f>
        <v>-6323.5</v>
      </c>
      <c r="G30">
        <f>+C30-(C$7+F30*C$8)</f>
        <v>2.1775000059278682E-3</v>
      </c>
      <c r="J30">
        <f>+G30</f>
        <v>2.1775000059278682E-3</v>
      </c>
      <c r="O30">
        <f ca="1">+C$11+C$12*$F30</f>
        <v>2.4589750327238005E-2</v>
      </c>
      <c r="Q30" s="2">
        <f>+C30-15018.5</f>
        <v>41054.040500000003</v>
      </c>
    </row>
    <row r="31" spans="1:17" x14ac:dyDescent="0.2">
      <c r="A31" s="36" t="s">
        <v>46</v>
      </c>
      <c r="B31" s="37" t="s">
        <v>47</v>
      </c>
      <c r="C31" s="38">
        <v>56141.407800000001</v>
      </c>
      <c r="D31" s="38">
        <v>1E-3</v>
      </c>
      <c r="E31">
        <f>+(C31-C$7)/C$8</f>
        <v>-6092.9861262196009</v>
      </c>
      <c r="F31">
        <f>ROUND(2*E31,0)/2</f>
        <v>-6093</v>
      </c>
      <c r="G31">
        <f>+C31-(C$7+F31*C$8)</f>
        <v>4.1449999989708886E-3</v>
      </c>
      <c r="K31">
        <f>+G31</f>
        <v>4.1449999989708886E-3</v>
      </c>
      <c r="O31">
        <f ca="1">+C$11+C$12*$F31</f>
        <v>2.4677770741364926E-2</v>
      </c>
      <c r="Q31" s="2">
        <f>+C31-15018.5</f>
        <v>41122.907800000001</v>
      </c>
    </row>
    <row r="32" spans="1:17" x14ac:dyDescent="0.2">
      <c r="A32" s="33" t="s">
        <v>41</v>
      </c>
      <c r="B32" s="34" t="s">
        <v>39</v>
      </c>
      <c r="C32" s="29">
        <v>56141.407910000002</v>
      </c>
      <c r="D32" s="29">
        <v>8.9999999999999998E-4</v>
      </c>
      <c r="E32">
        <f>+(C32-C$7)/C$8</f>
        <v>-6092.9857580372473</v>
      </c>
      <c r="F32">
        <f>ROUND(2*E32,0)/2</f>
        <v>-6093</v>
      </c>
      <c r="G32">
        <f>+C32-(C$7+F32*C$8)</f>
        <v>4.2549999998300336E-3</v>
      </c>
      <c r="K32">
        <f>+G32</f>
        <v>4.2549999998300336E-3</v>
      </c>
      <c r="O32">
        <f ca="1">+C$11+C$12*$F32</f>
        <v>2.4677770741364926E-2</v>
      </c>
      <c r="Q32" s="2">
        <f>+C32-15018.5</f>
        <v>41122.907910000002</v>
      </c>
    </row>
    <row r="33" spans="1:17" x14ac:dyDescent="0.2">
      <c r="A33" s="32" t="s">
        <v>45</v>
      </c>
      <c r="B33" s="28"/>
      <c r="C33" s="29">
        <v>56421.945</v>
      </c>
      <c r="D33" s="29">
        <v>2.0000000000000001E-4</v>
      </c>
      <c r="E33">
        <f>+(C33-C$7)/C$8</f>
        <v>-5153.9966194165991</v>
      </c>
      <c r="F33">
        <f>ROUND(2*E33,0)/2</f>
        <v>-5154</v>
      </c>
      <c r="G33">
        <f>+C33-(C$7+F33*C$8)</f>
        <v>1.0099999999511056E-3</v>
      </c>
      <c r="K33">
        <f>+G33</f>
        <v>1.0099999999511056E-3</v>
      </c>
      <c r="O33">
        <f ca="1">+C$11+C$12*$F33</f>
        <v>2.5036344142081536E-2</v>
      </c>
      <c r="Q33" s="2">
        <f>+C33-15018.5</f>
        <v>41403.445</v>
      </c>
    </row>
    <row r="34" spans="1:17" x14ac:dyDescent="0.2">
      <c r="A34" s="29" t="s">
        <v>44</v>
      </c>
      <c r="B34" s="34" t="s">
        <v>42</v>
      </c>
      <c r="C34" s="29">
        <v>56490.512699999999</v>
      </c>
      <c r="D34" s="29">
        <v>2.9999999999999997E-4</v>
      </c>
      <c r="E34">
        <f>+(C34-C$7)/C$8</f>
        <v>-4924.4928288119445</v>
      </c>
      <c r="F34">
        <f>ROUND(2*E34,0)/2</f>
        <v>-4924.5</v>
      </c>
      <c r="G34">
        <f>+C34-(C$7+F34*C$8)</f>
        <v>2.1425000013550743E-3</v>
      </c>
      <c r="J34">
        <f>+G34</f>
        <v>2.1425000013550743E-3</v>
      </c>
      <c r="O34">
        <f ca="1">+C$11+C$12*$F34</f>
        <v>2.5123982688902053E-2</v>
      </c>
      <c r="Q34" s="2">
        <f>+C34-15018.5</f>
        <v>41472.012699999999</v>
      </c>
    </row>
    <row r="35" spans="1:17" x14ac:dyDescent="0.2">
      <c r="A35" s="39" t="s">
        <v>49</v>
      </c>
      <c r="B35" s="40"/>
      <c r="C35" s="39">
        <v>56508.436520000003</v>
      </c>
      <c r="D35" s="39">
        <v>4.2000000000000002E-4</v>
      </c>
      <c r="E35">
        <f>+(C35-C$7)/C$8</f>
        <v>-4864.4997908054729</v>
      </c>
      <c r="F35">
        <f>ROUND(2*E35,0)/2</f>
        <v>-4864.5</v>
      </c>
      <c r="G35">
        <f>+C35-(C$7+F35*C$8)</f>
        <v>6.2500002968590707E-5</v>
      </c>
      <c r="K35">
        <f>+G35</f>
        <v>6.2500002968590707E-5</v>
      </c>
      <c r="O35">
        <f ca="1">+C$11+C$12*$F35</f>
        <v>2.5146894727286501E-2</v>
      </c>
      <c r="Q35" s="2">
        <f>+C35-15018.5</f>
        <v>41489.936520000003</v>
      </c>
    </row>
    <row r="36" spans="1:17" x14ac:dyDescent="0.2">
      <c r="A36" s="39" t="s">
        <v>49</v>
      </c>
      <c r="B36" s="40"/>
      <c r="C36" s="39">
        <v>56519.342080000002</v>
      </c>
      <c r="D36" s="39">
        <v>1.7000000000000001E-4</v>
      </c>
      <c r="E36">
        <f>+(C36-C$7)/C$8</f>
        <v>-4827.9976570213976</v>
      </c>
      <c r="F36">
        <f>ROUND(2*E36,0)/2</f>
        <v>-4828</v>
      </c>
      <c r="G36">
        <f>+C36-(C$7+F36*C$8)</f>
        <v>7.0000000414438546E-4</v>
      </c>
      <c r="K36">
        <f>+G36</f>
        <v>7.0000000414438546E-4</v>
      </c>
      <c r="O36">
        <f ca="1">+C$11+C$12*$F36</f>
        <v>2.5160832883970374E-2</v>
      </c>
      <c r="Q36" s="2">
        <f>+C36-15018.5</f>
        <v>41500.842080000002</v>
      </c>
    </row>
    <row r="37" spans="1:17" x14ac:dyDescent="0.2">
      <c r="A37" s="39" t="s">
        <v>49</v>
      </c>
      <c r="B37" s="40"/>
      <c r="C37" s="39">
        <v>56519.491869999998</v>
      </c>
      <c r="D37" s="39">
        <v>1.6000000000000001E-4</v>
      </c>
      <c r="E37">
        <f>+(C37-C$7)/C$8</f>
        <v>-4827.4962930731581</v>
      </c>
      <c r="F37">
        <f>ROUND(2*E37,0)/2</f>
        <v>-4827.5</v>
      </c>
      <c r="G37">
        <f>+C37-(C$7+F37*C$8)</f>
        <v>1.1075000002165325E-3</v>
      </c>
      <c r="K37">
        <f>+G37</f>
        <v>1.1075000002165325E-3</v>
      </c>
      <c r="O37">
        <f ca="1">+C$11+C$12*$F37</f>
        <v>2.5161023817623578E-2</v>
      </c>
      <c r="Q37" s="2">
        <f>+C37-15018.5</f>
        <v>41500.991869999998</v>
      </c>
    </row>
    <row r="38" spans="1:17" x14ac:dyDescent="0.2">
      <c r="A38" s="33" t="s">
        <v>41</v>
      </c>
      <c r="B38" s="34" t="s">
        <v>39</v>
      </c>
      <c r="C38" s="29">
        <v>56530.396789999999</v>
      </c>
      <c r="D38" s="29">
        <v>5.9999999999999995E-4</v>
      </c>
      <c r="E38">
        <f>+(C38-C$7)/C$8</f>
        <v>-4790.9963014409359</v>
      </c>
      <c r="F38">
        <f>ROUND(2*E38,0)/2</f>
        <v>-4791</v>
      </c>
      <c r="G38">
        <f>+C38-(C$7+F38*C$8)</f>
        <v>1.1049999957322143E-3</v>
      </c>
      <c r="K38">
        <f>+G38</f>
        <v>1.1049999957322143E-3</v>
      </c>
      <c r="O38">
        <f ca="1">+C$11+C$12*$F38</f>
        <v>2.517496197430745E-2</v>
      </c>
      <c r="Q38" s="2">
        <f>+C38-15018.5</f>
        <v>41511.896789999999</v>
      </c>
    </row>
    <row r="39" spans="1:17" x14ac:dyDescent="0.2">
      <c r="A39" s="35" t="s">
        <v>135</v>
      </c>
      <c r="C39" s="10">
        <v>57182.899945444311</v>
      </c>
      <c r="D39" s="10">
        <v>1E-4</v>
      </c>
      <c r="E39">
        <f>+(C39-C$7)/C$8</f>
        <v>-2606.9949778444229</v>
      </c>
      <c r="F39">
        <f>ROUND(2*E39,0)/2</f>
        <v>-2607</v>
      </c>
      <c r="G39">
        <f>+C39-(C$7+F39*C$8)</f>
        <v>1.5004443121142685E-3</v>
      </c>
      <c r="K39">
        <f>+G39</f>
        <v>1.5004443121142685E-3</v>
      </c>
      <c r="O39">
        <f ca="1">+C$11+C$12*$F39</f>
        <v>2.6008960171501359E-2</v>
      </c>
      <c r="Q39" s="2">
        <f>+C39-15018.5</f>
        <v>42164.399945444311</v>
      </c>
    </row>
    <row r="40" spans="1:17" x14ac:dyDescent="0.2">
      <c r="A40" s="56" t="s">
        <v>136</v>
      </c>
      <c r="B40" s="57" t="s">
        <v>42</v>
      </c>
      <c r="C40" s="58">
        <v>57335.420760000001</v>
      </c>
      <c r="D40" s="58">
        <v>2.0000000000000001E-4</v>
      </c>
      <c r="E40">
        <f>+(C40-C$7)/C$8</f>
        <v>-2096.4906866600813</v>
      </c>
      <c r="F40">
        <f>ROUND(2*E40,0)/2</f>
        <v>-2096.5</v>
      </c>
      <c r="G40">
        <f>+C40-(C$7+F40*C$8)</f>
        <v>2.7824999997392297E-3</v>
      </c>
      <c r="K40">
        <f>+G40</f>
        <v>2.7824999997392297E-3</v>
      </c>
      <c r="O40">
        <f ca="1">+C$11+C$12*$F40</f>
        <v>2.6203903431422371E-2</v>
      </c>
      <c r="Q40" s="2">
        <f>+C40-15018.5</f>
        <v>42316.920760000001</v>
      </c>
    </row>
    <row r="41" spans="1:17" x14ac:dyDescent="0.2">
      <c r="A41" s="56" t="s">
        <v>136</v>
      </c>
      <c r="B41" s="57" t="s">
        <v>42</v>
      </c>
      <c r="C41" s="58">
        <v>57335.420760000001</v>
      </c>
      <c r="D41" s="58">
        <v>2.0000000000000001E-4</v>
      </c>
      <c r="E41">
        <f>+(C41-C$7)/C$8</f>
        <v>-2096.4906866600813</v>
      </c>
      <c r="F41">
        <f>ROUND(2*E41,0)/2</f>
        <v>-2096.5</v>
      </c>
      <c r="G41">
        <f>+C41-(C$7+F41*C$8)</f>
        <v>2.7824999997392297E-3</v>
      </c>
      <c r="K41">
        <f>+G41</f>
        <v>2.7824999997392297E-3</v>
      </c>
      <c r="O41">
        <f ca="1">+C$11+C$12*$F41</f>
        <v>2.6203903431422371E-2</v>
      </c>
      <c r="Q41" s="2">
        <f>+C41-15018.5</f>
        <v>42316.920760000001</v>
      </c>
    </row>
    <row r="42" spans="1:17" x14ac:dyDescent="0.2">
      <c r="A42" s="59" t="s">
        <v>0</v>
      </c>
      <c r="B42" s="60" t="s">
        <v>42</v>
      </c>
      <c r="C42" s="61">
        <v>57568.456299999998</v>
      </c>
      <c r="D42" s="61">
        <v>2.8999999999999998E-3</v>
      </c>
      <c r="E42">
        <f>+(C42-C$7)/C$8</f>
        <v>-1316.4945693103343</v>
      </c>
      <c r="F42">
        <f>ROUND(2*E42,0)/2</f>
        <v>-1316.5</v>
      </c>
      <c r="G42">
        <f>+C42-(C$7+F42*C$8)</f>
        <v>1.622499999939464E-3</v>
      </c>
      <c r="K42">
        <f>+G42</f>
        <v>1.622499999939464E-3</v>
      </c>
      <c r="O42">
        <f ca="1">+C$11+C$12*$F42</f>
        <v>2.6501759930420195E-2</v>
      </c>
      <c r="Q42" s="2">
        <f>+C42-15018.5</f>
        <v>42549.956299999998</v>
      </c>
    </row>
    <row r="43" spans="1:17" x14ac:dyDescent="0.2">
      <c r="A43" s="62" t="s">
        <v>137</v>
      </c>
      <c r="B43" s="63" t="s">
        <v>39</v>
      </c>
      <c r="C43" s="64">
        <v>57887.3853699998</v>
      </c>
      <c r="D43" s="64">
        <v>2.0000000000000001E-4</v>
      </c>
      <c r="E43">
        <f>+(C43-C$7)/C$8</f>
        <v>-249.00316302177353</v>
      </c>
      <c r="F43" s="65">
        <f>ROUND(2*E43,0)/2-0.5</f>
        <v>-249.5</v>
      </c>
      <c r="G43">
        <f>+C43-(C$7+F43*C$8)</f>
        <v>0.14843749979627319</v>
      </c>
      <c r="K43">
        <f>+G43</f>
        <v>0.14843749979627319</v>
      </c>
      <c r="O43">
        <f ca="1">+C$11+C$12*$F43</f>
        <v>2.6909212346356966E-2</v>
      </c>
      <c r="Q43" s="2">
        <f>+C43-15018.5</f>
        <v>42868.8853699998</v>
      </c>
    </row>
    <row r="44" spans="1:17" x14ac:dyDescent="0.2">
      <c r="A44" s="62" t="s">
        <v>137</v>
      </c>
      <c r="B44" s="63" t="s">
        <v>42</v>
      </c>
      <c r="C44" s="64">
        <v>57888.434049999807</v>
      </c>
      <c r="D44" s="64">
        <v>5.0000000000000001E-4</v>
      </c>
      <c r="E44">
        <f>+(C44-C$7)/C$8</f>
        <v>-245.49311331713224</v>
      </c>
      <c r="F44" s="65">
        <f>ROUND(2*E44,0)/2-0.5</f>
        <v>-246</v>
      </c>
      <c r="G44">
        <f>+C44-(C$7+F44*C$8)</f>
        <v>0.15143999980500666</v>
      </c>
      <c r="K44">
        <f>+G44</f>
        <v>0.15143999980500666</v>
      </c>
      <c r="O44">
        <f ca="1">+C$11+C$12*$F44</f>
        <v>2.691054888192939E-2</v>
      </c>
      <c r="Q44" s="2">
        <f>+C44-15018.5</f>
        <v>42869.934049999807</v>
      </c>
    </row>
    <row r="45" spans="1:17" x14ac:dyDescent="0.2">
      <c r="A45" s="62" t="s">
        <v>137</v>
      </c>
      <c r="B45" s="63" t="s">
        <v>39</v>
      </c>
      <c r="C45" s="64">
        <v>58062.457739999983</v>
      </c>
      <c r="D45" s="64">
        <v>5.0000000000000001E-4</v>
      </c>
      <c r="E45">
        <f>+(C45-C$7)/C$8</f>
        <v>336.98371629870775</v>
      </c>
      <c r="F45" s="65">
        <f>ROUND(2*E45,0)/2-0.5</f>
        <v>336.5</v>
      </c>
      <c r="G45">
        <f>+C45-(C$7+F45*C$8)</f>
        <v>0.14451749998261221</v>
      </c>
      <c r="K45">
        <f>+G45</f>
        <v>0.14451749998261221</v>
      </c>
      <c r="O45">
        <f ca="1">+C$11+C$12*$F45</f>
        <v>2.7132986587911741E-2</v>
      </c>
      <c r="Q45" s="2">
        <f>+C45-15018.5</f>
        <v>43043.957739999983</v>
      </c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</sheetData>
  <protectedRanges>
    <protectedRange sqref="A42:D44" name="Range1"/>
  </protectedRanges>
  <sortState xmlns:xlrd2="http://schemas.microsoft.com/office/spreadsheetml/2017/richdata2" ref="A21:S55">
    <sortCondition ref="C21:C55"/>
  </sortState>
  <phoneticPr fontId="8" type="noConversion"/>
  <hyperlinks>
    <hyperlink ref="H192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1"/>
  <sheetViews>
    <sheetView topLeftCell="A4" workbookViewId="0">
      <selection activeCell="A23" sqref="A23:D2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1" t="s">
        <v>50</v>
      </c>
      <c r="I1" s="42" t="s">
        <v>51</v>
      </c>
      <c r="J1" s="43" t="s">
        <v>52</v>
      </c>
    </row>
    <row r="2" spans="1:16" x14ac:dyDescent="0.2">
      <c r="I2" s="44" t="s">
        <v>53</v>
      </c>
      <c r="J2" s="45" t="s">
        <v>54</v>
      </c>
    </row>
    <row r="3" spans="1:16" x14ac:dyDescent="0.2">
      <c r="A3" s="46" t="s">
        <v>55</v>
      </c>
      <c r="I3" s="44" t="s">
        <v>56</v>
      </c>
      <c r="J3" s="45" t="s">
        <v>57</v>
      </c>
    </row>
    <row r="4" spans="1:16" x14ac:dyDescent="0.2">
      <c r="I4" s="44" t="s">
        <v>58</v>
      </c>
      <c r="J4" s="45" t="s">
        <v>57</v>
      </c>
    </row>
    <row r="5" spans="1:16" ht="13.5" thickBot="1" x14ac:dyDescent="0.25">
      <c r="I5" s="47" t="s">
        <v>59</v>
      </c>
      <c r="J5" s="48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26" si="0">P11</f>
        <v>BAVM 220 </v>
      </c>
      <c r="B11" s="3" t="str">
        <f t="shared" ref="B11:B26" si="1">IF(H11=INT(H11),"I","II")</f>
        <v>II</v>
      </c>
      <c r="C11" s="10">
        <f t="shared" ref="C11:C26" si="2">1*G11</f>
        <v>55685.487699999998</v>
      </c>
      <c r="D11" s="12" t="str">
        <f t="shared" ref="D11:D26" si="3">VLOOKUP(F11,I$1:J$5,2,FALSE)</f>
        <v>vis</v>
      </c>
      <c r="E11" s="49">
        <f>VLOOKUP(C11,Active!C$21:E$970,3,FALSE)</f>
        <v>-7619.0018911184452</v>
      </c>
      <c r="F11" s="3" t="s">
        <v>59</v>
      </c>
      <c r="G11" s="12" t="str">
        <f t="shared" ref="G11:G26" si="4">MID(I11,3,LEN(I11)-3)</f>
        <v>55685.4877</v>
      </c>
      <c r="H11" s="10">
        <f t="shared" ref="H11:H26" si="5">1*K11</f>
        <v>14181.5</v>
      </c>
      <c r="I11" s="50" t="s">
        <v>61</v>
      </c>
      <c r="J11" s="51" t="s">
        <v>62</v>
      </c>
      <c r="K11" s="50">
        <v>14181.5</v>
      </c>
      <c r="L11" s="50" t="s">
        <v>63</v>
      </c>
      <c r="M11" s="51" t="s">
        <v>64</v>
      </c>
      <c r="N11" s="51" t="s">
        <v>65</v>
      </c>
      <c r="O11" s="52" t="s">
        <v>66</v>
      </c>
      <c r="P11" s="53" t="s">
        <v>67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55692.506959999999</v>
      </c>
      <c r="D12" s="12" t="str">
        <f t="shared" si="3"/>
        <v>vis</v>
      </c>
      <c r="E12" s="49">
        <f>VLOOKUP(C12,Active!C$21:E$970,3,FALSE)</f>
        <v>-7595.5076397837811</v>
      </c>
      <c r="F12" s="3" t="s">
        <v>59</v>
      </c>
      <c r="G12" s="12" t="str">
        <f t="shared" si="4"/>
        <v>55692.50696</v>
      </c>
      <c r="H12" s="10">
        <f t="shared" si="5"/>
        <v>14205</v>
      </c>
      <c r="I12" s="50" t="s">
        <v>68</v>
      </c>
      <c r="J12" s="51" t="s">
        <v>69</v>
      </c>
      <c r="K12" s="50" t="s">
        <v>70</v>
      </c>
      <c r="L12" s="50" t="s">
        <v>71</v>
      </c>
      <c r="M12" s="51" t="s">
        <v>64</v>
      </c>
      <c r="N12" s="51" t="s">
        <v>51</v>
      </c>
      <c r="O12" s="52" t="s">
        <v>72</v>
      </c>
      <c r="P12" s="53" t="s">
        <v>73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II</v>
      </c>
      <c r="C13" s="10">
        <f t="shared" si="2"/>
        <v>55693.553469999999</v>
      </c>
      <c r="D13" s="12" t="str">
        <f t="shared" si="3"/>
        <v>vis</v>
      </c>
      <c r="E13" s="49">
        <f>VLOOKUP(C13,Active!C$21:E$970,3,FALSE)</f>
        <v>-7592.0048533128083</v>
      </c>
      <c r="F13" s="3" t="s">
        <v>59</v>
      </c>
      <c r="G13" s="12" t="str">
        <f t="shared" si="4"/>
        <v>55693.55347</v>
      </c>
      <c r="H13" s="10">
        <f t="shared" si="5"/>
        <v>14208.5</v>
      </c>
      <c r="I13" s="50" t="s">
        <v>74</v>
      </c>
      <c r="J13" s="51" t="s">
        <v>75</v>
      </c>
      <c r="K13" s="50" t="s">
        <v>76</v>
      </c>
      <c r="L13" s="50" t="s">
        <v>77</v>
      </c>
      <c r="M13" s="51" t="s">
        <v>64</v>
      </c>
      <c r="N13" s="51" t="s">
        <v>51</v>
      </c>
      <c r="O13" s="52" t="s">
        <v>72</v>
      </c>
      <c r="P13" s="53" t="s">
        <v>73</v>
      </c>
    </row>
    <row r="14" spans="1:16" ht="12.75" customHeight="1" thickBot="1" x14ac:dyDescent="0.25">
      <c r="A14" s="10" t="str">
        <f t="shared" si="0"/>
        <v>OEJV 0160 </v>
      </c>
      <c r="B14" s="3" t="str">
        <f t="shared" si="1"/>
        <v>I</v>
      </c>
      <c r="C14" s="10">
        <f t="shared" si="2"/>
        <v>55707.444960000001</v>
      </c>
      <c r="D14" s="12" t="str">
        <f t="shared" si="3"/>
        <v>vis</v>
      </c>
      <c r="E14" s="49">
        <f>VLOOKUP(C14,Active!C$21:E$970,3,FALSE)</f>
        <v>-7545.508476561844</v>
      </c>
      <c r="F14" s="3" t="s">
        <v>59</v>
      </c>
      <c r="G14" s="12" t="str">
        <f t="shared" si="4"/>
        <v>55707.44496</v>
      </c>
      <c r="H14" s="10">
        <f t="shared" si="5"/>
        <v>14255</v>
      </c>
      <c r="I14" s="50" t="s">
        <v>78</v>
      </c>
      <c r="J14" s="51" t="s">
        <v>79</v>
      </c>
      <c r="K14" s="50" t="s">
        <v>80</v>
      </c>
      <c r="L14" s="50" t="s">
        <v>81</v>
      </c>
      <c r="M14" s="51" t="s">
        <v>64</v>
      </c>
      <c r="N14" s="51" t="s">
        <v>51</v>
      </c>
      <c r="O14" s="52" t="s">
        <v>72</v>
      </c>
      <c r="P14" s="53" t="s">
        <v>73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55791.400159999997</v>
      </c>
      <c r="D15" s="12" t="str">
        <f t="shared" si="3"/>
        <v>vis</v>
      </c>
      <c r="E15" s="49">
        <f>VLOOKUP(C15,Active!C$21:E$970,3,FALSE)</f>
        <v>-7264.5009957659113</v>
      </c>
      <c r="F15" s="3" t="s">
        <v>59</v>
      </c>
      <c r="G15" s="12" t="str">
        <f t="shared" si="4"/>
        <v>55791.40016</v>
      </c>
      <c r="H15" s="10">
        <f t="shared" si="5"/>
        <v>14536</v>
      </c>
      <c r="I15" s="50" t="s">
        <v>86</v>
      </c>
      <c r="J15" s="51" t="s">
        <v>87</v>
      </c>
      <c r="K15" s="50" t="s">
        <v>88</v>
      </c>
      <c r="L15" s="50" t="s">
        <v>89</v>
      </c>
      <c r="M15" s="51" t="s">
        <v>64</v>
      </c>
      <c r="N15" s="51" t="s">
        <v>51</v>
      </c>
      <c r="O15" s="52" t="s">
        <v>72</v>
      </c>
      <c r="P15" s="53" t="s">
        <v>73</v>
      </c>
    </row>
    <row r="16" spans="1:16" ht="12.75" customHeight="1" thickBot="1" x14ac:dyDescent="0.25">
      <c r="A16" s="10" t="str">
        <f t="shared" si="0"/>
        <v>BAVM 231 </v>
      </c>
      <c r="B16" s="3" t="str">
        <f t="shared" si="1"/>
        <v>II</v>
      </c>
      <c r="C16" s="10">
        <f t="shared" si="2"/>
        <v>56072.389199999998</v>
      </c>
      <c r="D16" s="12" t="str">
        <f t="shared" si="3"/>
        <v>vis</v>
      </c>
      <c r="E16" s="49">
        <f>VLOOKUP(C16,Active!C$21:E$970,3,FALSE)</f>
        <v>-6323.999129750815</v>
      </c>
      <c r="F16" s="3" t="s">
        <v>59</v>
      </c>
      <c r="G16" s="12" t="str">
        <f t="shared" si="4"/>
        <v>56072.3892</v>
      </c>
      <c r="H16" s="10">
        <f t="shared" si="5"/>
        <v>15476.5</v>
      </c>
      <c r="I16" s="50" t="s">
        <v>90</v>
      </c>
      <c r="J16" s="51" t="s">
        <v>91</v>
      </c>
      <c r="K16" s="50" t="s">
        <v>92</v>
      </c>
      <c r="L16" s="50" t="s">
        <v>93</v>
      </c>
      <c r="M16" s="51" t="s">
        <v>64</v>
      </c>
      <c r="N16" s="51" t="s">
        <v>65</v>
      </c>
      <c r="O16" s="52" t="s">
        <v>66</v>
      </c>
      <c r="P16" s="53" t="s">
        <v>94</v>
      </c>
    </row>
    <row r="17" spans="1:16" ht="12.75" customHeight="1" thickBot="1" x14ac:dyDescent="0.25">
      <c r="A17" s="10" t="str">
        <f t="shared" si="0"/>
        <v>BAVM 231 </v>
      </c>
      <c r="B17" s="3" t="str">
        <f t="shared" si="1"/>
        <v>I</v>
      </c>
      <c r="C17" s="10">
        <f t="shared" si="2"/>
        <v>56072.540500000003</v>
      </c>
      <c r="D17" s="12" t="str">
        <f t="shared" si="3"/>
        <v>vis</v>
      </c>
      <c r="E17" s="49">
        <f>VLOOKUP(C17,Active!C$21:E$970,3,FALSE)</f>
        <v>-6323.4927116630033</v>
      </c>
      <c r="F17" s="3" t="s">
        <v>59</v>
      </c>
      <c r="G17" s="12" t="str">
        <f t="shared" si="4"/>
        <v>56072.5405</v>
      </c>
      <c r="H17" s="10">
        <f t="shared" si="5"/>
        <v>15477</v>
      </c>
      <c r="I17" s="50" t="s">
        <v>95</v>
      </c>
      <c r="J17" s="51" t="s">
        <v>96</v>
      </c>
      <c r="K17" s="50" t="s">
        <v>97</v>
      </c>
      <c r="L17" s="50" t="s">
        <v>98</v>
      </c>
      <c r="M17" s="51" t="s">
        <v>64</v>
      </c>
      <c r="N17" s="51" t="s">
        <v>65</v>
      </c>
      <c r="O17" s="52" t="s">
        <v>66</v>
      </c>
      <c r="P17" s="53" t="s">
        <v>94</v>
      </c>
    </row>
    <row r="18" spans="1:16" ht="12.75" customHeight="1" thickBot="1" x14ac:dyDescent="0.25">
      <c r="A18" s="10" t="str">
        <f t="shared" si="0"/>
        <v>IBVS 6094 </v>
      </c>
      <c r="B18" s="3" t="str">
        <f t="shared" si="1"/>
        <v>II</v>
      </c>
      <c r="C18" s="10">
        <f t="shared" si="2"/>
        <v>56141.407800000001</v>
      </c>
      <c r="D18" s="12" t="str">
        <f t="shared" si="3"/>
        <v>vis</v>
      </c>
      <c r="E18" s="49">
        <f>VLOOKUP(C18,Active!C$21:E$970,3,FALSE)</f>
        <v>-6092.9861262196009</v>
      </c>
      <c r="F18" s="3" t="s">
        <v>59</v>
      </c>
      <c r="G18" s="12" t="str">
        <f t="shared" si="4"/>
        <v>56141.4078</v>
      </c>
      <c r="H18" s="10">
        <f t="shared" si="5"/>
        <v>15707.5</v>
      </c>
      <c r="I18" s="50" t="s">
        <v>99</v>
      </c>
      <c r="J18" s="51" t="s">
        <v>100</v>
      </c>
      <c r="K18" s="50" t="s">
        <v>101</v>
      </c>
      <c r="L18" s="50" t="s">
        <v>102</v>
      </c>
      <c r="M18" s="51" t="s">
        <v>64</v>
      </c>
      <c r="N18" s="51" t="s">
        <v>59</v>
      </c>
      <c r="O18" s="52" t="s">
        <v>103</v>
      </c>
      <c r="P18" s="53" t="s">
        <v>104</v>
      </c>
    </row>
    <row r="19" spans="1:16" ht="12.75" customHeight="1" thickBot="1" x14ac:dyDescent="0.25">
      <c r="A19" s="10" t="str">
        <f t="shared" si="0"/>
        <v>OEJV 0160 </v>
      </c>
      <c r="B19" s="3" t="str">
        <f t="shared" si="1"/>
        <v>II</v>
      </c>
      <c r="C19" s="10">
        <f t="shared" si="2"/>
        <v>56141.407910000002</v>
      </c>
      <c r="D19" s="12" t="str">
        <f t="shared" si="3"/>
        <v>vis</v>
      </c>
      <c r="E19" s="49">
        <f>VLOOKUP(C19,Active!C$21:E$970,3,FALSE)</f>
        <v>-6092.9857580372473</v>
      </c>
      <c r="F19" s="3" t="s">
        <v>59</v>
      </c>
      <c r="G19" s="12" t="str">
        <f t="shared" si="4"/>
        <v>56141.40791</v>
      </c>
      <c r="H19" s="10">
        <f t="shared" si="5"/>
        <v>15707.5</v>
      </c>
      <c r="I19" s="50" t="s">
        <v>105</v>
      </c>
      <c r="J19" s="51" t="s">
        <v>100</v>
      </c>
      <c r="K19" s="50" t="s">
        <v>101</v>
      </c>
      <c r="L19" s="50" t="s">
        <v>106</v>
      </c>
      <c r="M19" s="51" t="s">
        <v>64</v>
      </c>
      <c r="N19" s="51" t="s">
        <v>59</v>
      </c>
      <c r="O19" s="52" t="s">
        <v>103</v>
      </c>
      <c r="P19" s="53" t="s">
        <v>73</v>
      </c>
    </row>
    <row r="20" spans="1:16" ht="12.75" customHeight="1" thickBot="1" x14ac:dyDescent="0.25">
      <c r="A20" s="10" t="str">
        <f t="shared" si="0"/>
        <v>IBVS 6092 </v>
      </c>
      <c r="B20" s="3" t="str">
        <f t="shared" si="1"/>
        <v>II</v>
      </c>
      <c r="C20" s="10">
        <f t="shared" si="2"/>
        <v>56421.945</v>
      </c>
      <c r="D20" s="12" t="str">
        <f t="shared" si="3"/>
        <v>vis</v>
      </c>
      <c r="E20" s="49">
        <f>VLOOKUP(C20,Active!C$21:E$970,3,FALSE)</f>
        <v>-5153.9966194165991</v>
      </c>
      <c r="F20" s="3" t="s">
        <v>59</v>
      </c>
      <c r="G20" s="12" t="str">
        <f t="shared" si="4"/>
        <v>56421.945</v>
      </c>
      <c r="H20" s="10">
        <f t="shared" si="5"/>
        <v>16646.5</v>
      </c>
      <c r="I20" s="50" t="s">
        <v>107</v>
      </c>
      <c r="J20" s="51" t="s">
        <v>108</v>
      </c>
      <c r="K20" s="50" t="s">
        <v>109</v>
      </c>
      <c r="L20" s="50" t="s">
        <v>110</v>
      </c>
      <c r="M20" s="51" t="s">
        <v>64</v>
      </c>
      <c r="N20" s="51" t="s">
        <v>51</v>
      </c>
      <c r="O20" s="52" t="s">
        <v>111</v>
      </c>
      <c r="P20" s="53" t="s">
        <v>112</v>
      </c>
    </row>
    <row r="21" spans="1:16" ht="12.75" customHeight="1" thickBot="1" x14ac:dyDescent="0.25">
      <c r="A21" s="10" t="str">
        <f t="shared" si="0"/>
        <v>BAVM 232 </v>
      </c>
      <c r="B21" s="3" t="str">
        <f t="shared" si="1"/>
        <v>I</v>
      </c>
      <c r="C21" s="10">
        <f t="shared" si="2"/>
        <v>56490.512699999999</v>
      </c>
      <c r="D21" s="12" t="str">
        <f t="shared" si="3"/>
        <v>vis</v>
      </c>
      <c r="E21" s="49">
        <f>VLOOKUP(C21,Active!C$21:E$970,3,FALSE)</f>
        <v>-4924.4928288119445</v>
      </c>
      <c r="F21" s="3" t="s">
        <v>59</v>
      </c>
      <c r="G21" s="12" t="str">
        <f t="shared" si="4"/>
        <v>56490.5127</v>
      </c>
      <c r="H21" s="10">
        <f t="shared" si="5"/>
        <v>16876</v>
      </c>
      <c r="I21" s="50" t="s">
        <v>113</v>
      </c>
      <c r="J21" s="51" t="s">
        <v>114</v>
      </c>
      <c r="K21" s="50" t="s">
        <v>115</v>
      </c>
      <c r="L21" s="50" t="s">
        <v>116</v>
      </c>
      <c r="M21" s="51" t="s">
        <v>64</v>
      </c>
      <c r="N21" s="51" t="s">
        <v>65</v>
      </c>
      <c r="O21" s="52" t="s">
        <v>66</v>
      </c>
      <c r="P21" s="53" t="s">
        <v>117</v>
      </c>
    </row>
    <row r="22" spans="1:16" ht="12.75" customHeight="1" thickBot="1" x14ac:dyDescent="0.25">
      <c r="A22" s="10" t="str">
        <f t="shared" si="0"/>
        <v>OEJV 0160 </v>
      </c>
      <c r="B22" s="3" t="str">
        <f t="shared" si="1"/>
        <v>II</v>
      </c>
      <c r="C22" s="10">
        <f t="shared" si="2"/>
        <v>56530.396789999999</v>
      </c>
      <c r="D22" s="12" t="str">
        <f t="shared" si="3"/>
        <v>vis</v>
      </c>
      <c r="E22" s="49">
        <f>VLOOKUP(C22,Active!C$21:E$970,3,FALSE)</f>
        <v>-4790.9963014409359</v>
      </c>
      <c r="F22" s="3" t="s">
        <v>59</v>
      </c>
      <c r="G22" s="12" t="str">
        <f t="shared" si="4"/>
        <v>56530.39679</v>
      </c>
      <c r="H22" s="10">
        <f t="shared" si="5"/>
        <v>17009.5</v>
      </c>
      <c r="I22" s="50" t="s">
        <v>130</v>
      </c>
      <c r="J22" s="51" t="s">
        <v>131</v>
      </c>
      <c r="K22" s="50" t="s">
        <v>132</v>
      </c>
      <c r="L22" s="50" t="s">
        <v>133</v>
      </c>
      <c r="M22" s="51" t="s">
        <v>64</v>
      </c>
      <c r="N22" s="51" t="s">
        <v>59</v>
      </c>
      <c r="O22" s="52" t="s">
        <v>134</v>
      </c>
      <c r="P22" s="53" t="s">
        <v>73</v>
      </c>
    </row>
    <row r="23" spans="1:16" ht="12.75" customHeight="1" thickBot="1" x14ac:dyDescent="0.25">
      <c r="A23" s="10" t="str">
        <f t="shared" si="0"/>
        <v>BAVM 220 </v>
      </c>
      <c r="B23" s="3" t="str">
        <f t="shared" si="1"/>
        <v>II</v>
      </c>
      <c r="C23" s="10">
        <f t="shared" si="2"/>
        <v>55787.366399999999</v>
      </c>
      <c r="D23" s="12" t="str">
        <f t="shared" si="3"/>
        <v>vis</v>
      </c>
      <c r="E23" s="49">
        <f>VLOOKUP(C23,Active!C$21:E$970,3,FALSE)</f>
        <v>-7278.0024433919671</v>
      </c>
      <c r="F23" s="3" t="s">
        <v>59</v>
      </c>
      <c r="G23" s="12" t="str">
        <f t="shared" si="4"/>
        <v>55787.3664</v>
      </c>
      <c r="H23" s="10">
        <f t="shared" si="5"/>
        <v>14522.5</v>
      </c>
      <c r="I23" s="50" t="s">
        <v>82</v>
      </c>
      <c r="J23" s="51" t="s">
        <v>83</v>
      </c>
      <c r="K23" s="50" t="s">
        <v>84</v>
      </c>
      <c r="L23" s="50" t="s">
        <v>85</v>
      </c>
      <c r="M23" s="51" t="s">
        <v>64</v>
      </c>
      <c r="N23" s="51" t="s">
        <v>65</v>
      </c>
      <c r="O23" s="52" t="s">
        <v>66</v>
      </c>
      <c r="P23" s="53" t="s">
        <v>67</v>
      </c>
    </row>
    <row r="24" spans="1:16" ht="12.75" customHeight="1" thickBot="1" x14ac:dyDescent="0.25">
      <c r="A24" s="10" t="str">
        <f t="shared" si="0"/>
        <v>OEJV 0160 </v>
      </c>
      <c r="B24" s="3" t="str">
        <f t="shared" si="1"/>
        <v>I</v>
      </c>
      <c r="C24" s="10">
        <f t="shared" si="2"/>
        <v>56508.437270000002</v>
      </c>
      <c r="D24" s="12" t="str">
        <f t="shared" si="3"/>
        <v>vis</v>
      </c>
      <c r="E24" s="49" t="e">
        <f>VLOOKUP(C24,Active!C$21:E$970,3,FALSE)</f>
        <v>#N/A</v>
      </c>
      <c r="F24" s="3" t="s">
        <v>59</v>
      </c>
      <c r="G24" s="12" t="str">
        <f t="shared" si="4"/>
        <v>56508.43727</v>
      </c>
      <c r="H24" s="10">
        <f t="shared" si="5"/>
        <v>16936</v>
      </c>
      <c r="I24" s="50" t="s">
        <v>118</v>
      </c>
      <c r="J24" s="51" t="s">
        <v>119</v>
      </c>
      <c r="K24" s="50" t="s">
        <v>120</v>
      </c>
      <c r="L24" s="50" t="s">
        <v>121</v>
      </c>
      <c r="M24" s="51" t="s">
        <v>64</v>
      </c>
      <c r="N24" s="51" t="s">
        <v>122</v>
      </c>
      <c r="O24" s="52" t="s">
        <v>72</v>
      </c>
      <c r="P24" s="53" t="s">
        <v>73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II</v>
      </c>
      <c r="C25" s="10">
        <f t="shared" si="2"/>
        <v>56519.342499999999</v>
      </c>
      <c r="D25" s="12" t="str">
        <f t="shared" si="3"/>
        <v>vis</v>
      </c>
      <c r="E25" s="49" t="e">
        <f>VLOOKUP(C25,Active!C$21:E$970,3,FALSE)</f>
        <v>#N/A</v>
      </c>
      <c r="F25" s="3" t="s">
        <v>59</v>
      </c>
      <c r="G25" s="12" t="str">
        <f t="shared" si="4"/>
        <v>56519.3425</v>
      </c>
      <c r="H25" s="10">
        <f t="shared" si="5"/>
        <v>16972.5</v>
      </c>
      <c r="I25" s="50" t="s">
        <v>123</v>
      </c>
      <c r="J25" s="51" t="s">
        <v>124</v>
      </c>
      <c r="K25" s="50" t="s">
        <v>125</v>
      </c>
      <c r="L25" s="50" t="s">
        <v>116</v>
      </c>
      <c r="M25" s="51" t="s">
        <v>64</v>
      </c>
      <c r="N25" s="51" t="s">
        <v>122</v>
      </c>
      <c r="O25" s="52" t="s">
        <v>72</v>
      </c>
      <c r="P25" s="53" t="s">
        <v>73</v>
      </c>
    </row>
    <row r="26" spans="1:16" ht="12.75" customHeight="1" thickBot="1" x14ac:dyDescent="0.25">
      <c r="A26" s="10" t="str">
        <f t="shared" si="0"/>
        <v>OEJV 0160 </v>
      </c>
      <c r="B26" s="3" t="str">
        <f t="shared" si="1"/>
        <v>I</v>
      </c>
      <c r="C26" s="10">
        <f t="shared" si="2"/>
        <v>56519.492290000002</v>
      </c>
      <c r="D26" s="12" t="str">
        <f t="shared" si="3"/>
        <v>vis</v>
      </c>
      <c r="E26" s="49" t="e">
        <f>VLOOKUP(C26,Active!C$21:E$970,3,FALSE)</f>
        <v>#N/A</v>
      </c>
      <c r="F26" s="3" t="s">
        <v>59</v>
      </c>
      <c r="G26" s="12" t="str">
        <f t="shared" si="4"/>
        <v>56519.49229</v>
      </c>
      <c r="H26" s="10">
        <f t="shared" si="5"/>
        <v>16973</v>
      </c>
      <c r="I26" s="50" t="s">
        <v>126</v>
      </c>
      <c r="J26" s="51" t="s">
        <v>127</v>
      </c>
      <c r="K26" s="50" t="s">
        <v>128</v>
      </c>
      <c r="L26" s="50" t="s">
        <v>129</v>
      </c>
      <c r="M26" s="51" t="s">
        <v>64</v>
      </c>
      <c r="N26" s="51" t="s">
        <v>122</v>
      </c>
      <c r="O26" s="52" t="s">
        <v>72</v>
      </c>
      <c r="P26" s="53" t="s">
        <v>73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</sheetData>
  <phoneticPr fontId="8" type="noConversion"/>
  <hyperlinks>
    <hyperlink ref="P11" r:id="rId1" display="http://www.bav-astro.de/sfs/BAVM_link.php?BAVMnr=220"/>
    <hyperlink ref="P12" r:id="rId2" display="http://var.astro.cz/oejv/issues/oejv0160.pdf"/>
    <hyperlink ref="P13" r:id="rId3" display="http://var.astro.cz/oejv/issues/oejv0160.pdf"/>
    <hyperlink ref="P14" r:id="rId4" display="http://var.astro.cz/oejv/issues/oejv0160.pdf"/>
    <hyperlink ref="P23" r:id="rId5" display="http://www.bav-astro.de/sfs/BAVM_link.php?BAVMnr=220"/>
    <hyperlink ref="P15" r:id="rId6" display="http://var.astro.cz/oejv/issues/oejv0160.pdf"/>
    <hyperlink ref="P16" r:id="rId7" display="http://www.bav-astro.de/sfs/BAVM_link.php?BAVMnr=231"/>
    <hyperlink ref="P17" r:id="rId8" display="http://www.bav-astro.de/sfs/BAVM_link.php?BAVMnr=231"/>
    <hyperlink ref="P18" r:id="rId9" display="http://www.konkoly.hu/cgi-bin/IBVS?6094"/>
    <hyperlink ref="P19" r:id="rId10" display="http://var.astro.cz/oejv/issues/oejv0160.pdf"/>
    <hyperlink ref="P20" r:id="rId11" display="http://www.konkoly.hu/cgi-bin/IBVS?6092"/>
    <hyperlink ref="P21" r:id="rId12" display="http://www.bav-astro.de/sfs/BAVM_link.php?BAVMnr=232"/>
    <hyperlink ref="P24" r:id="rId13" display="http://var.astro.cz/oejv/issues/oejv0160.pdf"/>
    <hyperlink ref="P25" r:id="rId14" display="http://var.astro.cz/oejv/issues/oejv0160.pdf"/>
    <hyperlink ref="P26" r:id="rId15" display="http://var.astro.cz/oejv/issues/oejv0160.pdf"/>
    <hyperlink ref="P22" r:id="rId16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2023-08-30T06:03:43Z</dcterms:modified>
</cp:coreProperties>
</file>