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6EA6067-ACFD-41A9-B08C-BC0E8EBA878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Q27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1" i="1"/>
  <c r="F21" i="1"/>
  <c r="G21" i="1"/>
  <c r="C13" i="1"/>
  <c r="Q22" i="1"/>
  <c r="Q23" i="1"/>
  <c r="Q24" i="1"/>
  <c r="Q25" i="1"/>
  <c r="Q26" i="1"/>
  <c r="F12" i="1"/>
  <c r="F13" i="1" s="1"/>
  <c r="D14" i="1"/>
  <c r="D13" i="1"/>
  <c r="C14" i="1"/>
  <c r="C17" i="1"/>
  <c r="Q21" i="1"/>
  <c r="R25" i="1"/>
  <c r="I25" i="1"/>
  <c r="R24" i="1"/>
  <c r="I24" i="1"/>
  <c r="S26" i="1"/>
  <c r="I26" i="1"/>
  <c r="S23" i="1"/>
  <c r="I23" i="1"/>
  <c r="R21" i="1"/>
  <c r="I21" i="1"/>
  <c r="I22" i="1"/>
  <c r="S22" i="1"/>
  <c r="R19" i="1"/>
  <c r="E18" i="1" s="1"/>
  <c r="C11" i="1"/>
  <c r="R27" i="1" l="1"/>
  <c r="I27" i="1"/>
  <c r="D12" i="1"/>
  <c r="D11" i="1"/>
  <c r="C12" i="1"/>
  <c r="O27" i="1" l="1"/>
  <c r="P27" i="1"/>
  <c r="P25" i="1"/>
  <c r="P26" i="1"/>
  <c r="P22" i="1"/>
  <c r="D15" i="1"/>
  <c r="C19" i="1" s="1"/>
  <c r="P21" i="1"/>
  <c r="P24" i="1"/>
  <c r="P23" i="1"/>
  <c r="D16" i="1"/>
  <c r="D19" i="1" s="1"/>
  <c r="S19" i="1"/>
  <c r="E19" i="1" s="1"/>
  <c r="C16" i="1"/>
  <c r="D18" i="1" s="1"/>
  <c r="O24" i="1"/>
  <c r="C15" i="1"/>
  <c r="O22" i="1"/>
  <c r="O21" i="1"/>
  <c r="O23" i="1"/>
  <c r="O26" i="1"/>
  <c r="O25" i="1"/>
  <c r="C18" i="1" l="1"/>
  <c r="F14" i="1"/>
  <c r="F15" i="1" s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<sst xmlns="http://schemas.openxmlformats.org/spreadsheetml/2006/main" count="63" uniqueCount="55">
  <si>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</si>
  <si>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</si>
  <si>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</si>
  <si>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</si>
  <si>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</si>
  <si>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</si>
  <si>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</si>
  <si>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</si>
  <si>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</si>
  <si>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</si>
  <si>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</si>
  <si>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</si>
  <si>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</si>
  <si>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</si>
  <si>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</si>
  <si>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</si>
  <si>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</si>
  <si>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</si>
  <si>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</si>
  <si>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</si>
  <si>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</si>
  <si>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</si>
  <si>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</si>
  <si>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</si>
  <si>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</si>
  <si>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</si>
  <si>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</si>
  <si>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</si>
  <si>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</si>
  <si>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</si>
  <si>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</si>
  <si>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</si>
  <si>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</si>
  <si>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</si>
  <si>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</si>
  <si>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</si>
  <si>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</si>
  <si>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</si>
  <si>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</si>
  <si>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V0898 Cep / GSC 4277-0586</t>
  </si>
  <si>
    <t>EA</t>
  </si>
  <si>
    <t>Cep</t>
  </si>
  <si>
    <t>not avail.</t>
  </si>
  <si>
    <t>IBVS 5681</t>
  </si>
  <si>
    <t>OEJV 0074</t>
  </si>
  <si>
    <t>II</t>
  </si>
  <si>
    <t>I</t>
  </si>
  <si>
    <t>IBVS 6230</t>
  </si>
  <si>
    <t>IBVS 6196</t>
  </si>
  <si>
    <t>OEJV 0205</t>
  </si>
  <si>
    <t>pg</t>
  </si>
  <si>
    <t>vis</t>
  </si>
  <si>
    <t>PE</t>
  </si>
  <si>
    <t>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</si>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</sst>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5" fillId="0" borderId="1" applyNumberFormat="0" applyFont="0" applyFill="0" applyAlignment="0" applyProtection="0"/>
  </cellStyleXfs>
  <cellXfs count="51"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7" applyFont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5" fillId="0" borderId="0" xfId="7" applyFont="1" applyAlignment="1">
      <alignment horizontal="left" wrapText="1"/>
    </xf>
    <xf numFmtId="0" fontId="5" fillId="0" borderId="0" xfId="7" applyFont="1" applyAlignment="1">
      <alignment wrapText="1"/>
    </xf>
    <xf numFmtId="0" fontId="5" fillId="0" borderId="0" xfId="7" applyFont="1" applyAlignment="1">
      <alignment horizontal="center"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4" fontId="8" fillId="0" borderId="0" xfId="0" applyNumberFormat="1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V0898 Cep - Prim. O-C Diagr.</a:t>
            </a:r>
          </a:p>
        </c:rich>
      </c:tx>
      <c:layout>
        <c:manualLayout>
          <c:xMode val="edge"/>
          <c:yMode val="edge"/>
          <c:x val="0.2702704885382050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3">
                  <c:v>3.2199999994190875E-2</c:v>
                </c:pt>
                <c:pt idx="4">
                  <c:v>4.529999999795109E-2</c:v>
                </c:pt>
                <c:pt idx="6">
                  <c:v>6.1549999998533167E-2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E-454A-8ACF-3011E7F08F62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-9.0157610417385126E-4</c:v>
                </c:pt>
                <c:pt idx="1">
                  <c:v>2.0139945522870396E-2</c:v>
                </c:pt>
                <c:pt idx="2">
                  <c:v>2.1771598250007917E-2</c:v>
                </c:pt>
                <c:pt idx="3">
                  <c:v>3.4224281216147727E-2</c:v>
                </c:pt>
                <c:pt idx="4">
                  <c:v>4.5464555558650629E-2</c:v>
                </c:pt>
                <c:pt idx="5">
                  <c:v>5.6353571327950318E-2</c:v>
                </c:pt>
                <c:pt idx="6">
                  <c:v>6.0262739320050628E-2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0E-454A-8ACF-3011E7F0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294048"/>
        <c:axId val="1"/>
      </c:scatterChart>
      <c:valAx>
        <c:axId val="56929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29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V0898 Cep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Active!$C$21:$C$494</c:f>
                <c:numCache>
                  <c:formatCode>General</c:formatCode>
                  <c:ptCount val="474"/>
                  <c:pt idx="0">
                    <c:v>51364.686000000002</c:v>
                  </c:pt>
                  <c:pt idx="1">
                    <c:v>54034.404490000001</c:v>
                  </c:pt>
                  <c:pt idx="2">
                    <c:v>54241.387730000002</c:v>
                  </c:pt>
                  <c:pt idx="3">
                    <c:v>55820.580699999999</c:v>
                  </c:pt>
                  <c:pt idx="4">
                    <c:v>57246.469799999999</c:v>
                  </c:pt>
                  <c:pt idx="5">
                    <c:v>58628.291819999999</c:v>
                  </c:pt>
                  <c:pt idx="6">
                    <c:v>59123.697800000002</c:v>
                  </c:pt>
                </c:numCache>
              </c:numRef>
            </c:plus>
            <c:minus>
              <c:numRef>
                <c:f>Active!$C$21:$C$494</c:f>
                <c:numCache>
                  <c:formatCode>General</c:formatCode>
                  <c:ptCount val="474"/>
                  <c:pt idx="0">
                    <c:v>51364.686000000002</c:v>
                  </c:pt>
                  <c:pt idx="1">
                    <c:v>54034.404490000001</c:v>
                  </c:pt>
                  <c:pt idx="2">
                    <c:v>54241.387730000002</c:v>
                  </c:pt>
                  <c:pt idx="3">
                    <c:v>55820.580699999999</c:v>
                  </c:pt>
                  <c:pt idx="4">
                    <c:v>57246.469799999999</c:v>
                  </c:pt>
                  <c:pt idx="5">
                    <c:v>58628.291819999999</c:v>
                  </c:pt>
                  <c:pt idx="6">
                    <c:v>59123.697800000002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9-403A-AD96-1BE59112D8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0</c:v>
                </c:pt>
                <c:pt idx="1">
                  <c:v>0.51311500000156229</c:v>
                </c:pt>
                <c:pt idx="2">
                  <c:v>0.51435499999934109</c:v>
                </c:pt>
                <c:pt idx="3">
                  <c:v>3.2199999994190875E-2</c:v>
                </c:pt>
                <c:pt idx="4">
                  <c:v>4.529999999795109E-2</c:v>
                </c:pt>
                <c:pt idx="5">
                  <c:v>0.54994499999884283</c:v>
                </c:pt>
                <c:pt idx="6">
                  <c:v>6.1549999998533167E-2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9-403A-AD96-1BE59112D8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9-403A-AD96-1BE59112D8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9-403A-AD96-1BE59112D8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9-403A-AD96-1BE59112D8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9-403A-AD96-1BE59112D8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9-403A-AD96-1BE59112D8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-9.0157610417385126E-4</c:v>
                </c:pt>
                <c:pt idx="1">
                  <c:v>2.0139945522870396E-2</c:v>
                </c:pt>
                <c:pt idx="2">
                  <c:v>2.1771598250007917E-2</c:v>
                </c:pt>
                <c:pt idx="3">
                  <c:v>3.4224281216147727E-2</c:v>
                </c:pt>
                <c:pt idx="4">
                  <c:v>4.5464555558650629E-2</c:v>
                </c:pt>
                <c:pt idx="5">
                  <c:v>5.6353571327950318E-2</c:v>
                </c:pt>
                <c:pt idx="6">
                  <c:v>6.0262739320050628E-2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9-403A-AD96-1BE59112D862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0.49139021837652558</c:v>
                </c:pt>
                <c:pt idx="1">
                  <c:v>0.51290573273225493</c:v>
                </c:pt>
                <c:pt idx="2">
                  <c:v>0.5145741409537008</c:v>
                </c:pt>
                <c:pt idx="3">
                  <c:v>0.52730733981043032</c:v>
                </c:pt>
                <c:pt idx="4">
                  <c:v>0.53880081866927987</c:v>
                </c:pt>
                <c:pt idx="5">
                  <c:v>0.54993512631379027</c:v>
                </c:pt>
                <c:pt idx="6">
                  <c:v>0.55393235434433774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69-403A-AD96-1BE59112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590688"/>
        <c:axId val="1"/>
      </c:scatterChart>
      <c:valAx>
        <c:axId val="62559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590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705167173252279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V0898 Cep - Sec. O-C Diagr.</a:t>
            </a:r>
          </a:p>
        </c:rich>
      </c:tx>
      <c:layout>
        <c:manualLayout>
          <c:xMode val="edge"/>
          <c:yMode val="edge"/>
          <c:x val="0.279592050993625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79592613592767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1">
                  <c:v>0.51311500000156229</c:v>
                </c:pt>
                <c:pt idx="2">
                  <c:v>0.51435499999934109</c:v>
                </c:pt>
                <c:pt idx="5">
                  <c:v>0.54994499999884283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C3-47ED-9C7E-03D31698FFEC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928.5</c:v>
                </c:pt>
                <c:pt idx="2">
                  <c:v>1000.5</c:v>
                </c:pt>
                <c:pt idx="3">
                  <c:v>1550</c:v>
                </c:pt>
                <c:pt idx="4">
                  <c:v>2046</c:v>
                </c:pt>
                <c:pt idx="5">
                  <c:v>2526.5</c:v>
                </c:pt>
                <c:pt idx="6">
                  <c:v>2699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0.49139021837652558</c:v>
                </c:pt>
                <c:pt idx="1">
                  <c:v>0.51290573273225493</c:v>
                </c:pt>
                <c:pt idx="2">
                  <c:v>0.5145741409537008</c:v>
                </c:pt>
                <c:pt idx="3">
                  <c:v>0.52730733981043032</c:v>
                </c:pt>
                <c:pt idx="4">
                  <c:v>0.53880081866927987</c:v>
                </c:pt>
                <c:pt idx="5">
                  <c:v>0.54993512631379027</c:v>
                </c:pt>
                <c:pt idx="6">
                  <c:v>0.55393235434433774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C3-47ED-9C7E-03D31698F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85368"/>
        <c:axId val="1"/>
      </c:scatterChart>
      <c:valAx>
        <c:axId val="560985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985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7555305586801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4F66C0D-CB55-5705-FDF1-D318A4D38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342900</xdr:colOff>
      <xdr:row>0</xdr:row>
      <xdr:rowOff>104775</xdr:rowOff>
    </xdr:from>
    <xdr:to>
      <xdr:col>30</xdr:col>
      <xdr:colOff>76200</xdr:colOff>
      <xdr:row>17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27C4AA4F-A1F6-7F40-0074-69925A4B9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EBCCCB3D-8A64-7228-CA1C-E60D12F8A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5.7109375" customWidth="1"/>
    <col min="2" max="2" width="3.85546875" customWidth="1"/>
    <col min="3" max="3" width="12.7109375" customWidth="1"/>
    <col min="4" max="4" width="8.28515625" customWidth="1"/>
    <col min="5" max="5" width="9.42578125" customWidth="1"/>
    <col min="6" max="6" width="16.5703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1" t="s">
        <v>39</v>
      </c>
    </row>
    <row r="2" spans="1:6" x14ac:dyDescent="0.2">
      <c r="A2" t="s">
        <v>16</v>
      </c>
      <c r="B2" t="s">
        <v>40</v>
      </c>
      <c r="C2" s="10"/>
      <c r="D2" s="10" t="s">
        <v>41</v>
      </c>
    </row>
    <row r="3" spans="1:6" ht="13.5" thickBot="1" x14ac:dyDescent="0.25"/>
    <row r="4" spans="1:6" ht="14.25" thickTop="1" thickBot="1" x14ac:dyDescent="0.25">
      <c r="A4" s="4" t="s">
        <v>0</v>
      </c>
      <c r="C4" s="32" t="s">
        <v>42</v>
      </c>
      <c r="D4" s="33" t="s">
        <v>42</v>
      </c>
    </row>
    <row r="5" spans="1:6" ht="13.5" thickTop="1" x14ac:dyDescent="0.2">
      <c r="A5" s="24" t="s">
        <v>31</v>
      </c>
      <c r="B5" s="18"/>
      <c r="C5" s="25">
        <v>-9.5</v>
      </c>
      <c r="D5" s="18" t="s">
        <v>32</v>
      </c>
    </row>
    <row r="6" spans="1:6" x14ac:dyDescent="0.2">
      <c r="A6" s="4" t="s">
        <v>1</v>
      </c>
    </row>
    <row r="7" spans="1:6" x14ac:dyDescent="0.2">
      <c r="A7" t="s">
        <v>2</v>
      </c>
      <c r="C7">
        <v>51364.686000000002</v>
      </c>
      <c r="D7">
        <v>2.8747500000000001</v>
      </c>
    </row>
    <row r="8" spans="1:6" x14ac:dyDescent="0.2">
      <c r="A8" t="s">
        <v>3</v>
      </c>
      <c r="C8">
        <v>2.8747500000000001</v>
      </c>
    </row>
    <row r="9" spans="1:6" x14ac:dyDescent="0.2">
      <c r="A9" s="16" t="s">
        <v>28</v>
      </c>
      <c r="B9" s="16"/>
      <c r="C9" s="17">
        <v>21</v>
      </c>
      <c r="D9" s="17">
        <v>21</v>
      </c>
    </row>
    <row r="10" spans="1:6" ht="13.5" thickBot="1" x14ac:dyDescent="0.25">
      <c r="A10" s="18"/>
      <c r="B10" s="18"/>
      <c r="C10" s="3" t="s">
        <v>18</v>
      </c>
      <c r="D10" s="3" t="s">
        <v>19</v>
      </c>
    </row>
    <row r="11" spans="1:6" x14ac:dyDescent="0.2">
      <c r="A11" s="18" t="s">
        <v>13</v>
      </c>
      <c r="B11" s="18"/>
      <c r="C11" s="19">
        <f ca="1">INTERCEPT(INDIRECT(C14):R$935,INDIRECT(C13):$F$935)</f>
        <v>-9.0157610417385126E-4</v>
      </c>
      <c r="D11" s="19">
        <f ca="1">INTERCEPT(INDIRECT(D14):S$935,INDIRECT(D13):$F$935)</f>
        <v>0.49139021837652558</v>
      </c>
      <c r="E11" s="16" t="s">
        <v>34</v>
      </c>
      <c r="F11">
        <v>1</v>
      </c>
    </row>
    <row r="12" spans="1:6" x14ac:dyDescent="0.2">
      <c r="A12" s="18" t="s">
        <v>14</v>
      </c>
      <c r="B12" s="18"/>
      <c r="C12" s="19">
        <f ca="1">SLOPE(INDIRECT(C14):R$935,INDIRECT(C13):$F$935)</f>
        <v>2.2661843432465534E-5</v>
      </c>
      <c r="D12" s="19">
        <f ca="1">SLOPE(INDIRECT(D14):S$935,INDIRECT(D13):$F$935)</f>
        <v>2.317233640897079E-5</v>
      </c>
      <c r="E12" s="16" t="s">
        <v>35</v>
      </c>
      <c r="F12" s="26">
        <f ca="1">NOW()+15018.5+$C$5/24</f>
        <v>60163.490283796295</v>
      </c>
    </row>
    <row r="13" spans="1:6" x14ac:dyDescent="0.2">
      <c r="A13" s="16" t="s">
        <v>29</v>
      </c>
      <c r="B13" s="16"/>
      <c r="C13" s="17" t="str">
        <f>"F"&amp;C9</f>
        <v>F21</v>
      </c>
      <c r="D13" s="17" t="str">
        <f>"F"&amp;D9</f>
        <v>F21</v>
      </c>
      <c r="E13" s="16" t="s">
        <v>36</v>
      </c>
      <c r="F13" s="26">
        <f ca="1">ROUND(2*(F12-$C$7)/$C$8,0)/2+F11</f>
        <v>3061.5</v>
      </c>
    </row>
    <row r="14" spans="1:6" x14ac:dyDescent="0.2">
      <c r="A14" s="16" t="s">
        <v>30</v>
      </c>
      <c r="B14" s="16"/>
      <c r="C14" s="17" t="str">
        <f>"R"&amp;C9</f>
        <v>R21</v>
      </c>
      <c r="D14" s="17" t="str">
        <f>"S"&amp;D9</f>
        <v>S21</v>
      </c>
      <c r="E14" s="16" t="s">
        <v>37</v>
      </c>
      <c r="F14" s="27">
        <f ca="1">ROUND(2*(F12-$C$15)/$C$16,0)/2+F11</f>
        <v>362.5</v>
      </c>
    </row>
    <row r="15" spans="1:6" x14ac:dyDescent="0.2">
      <c r="A15" s="20" t="s">
        <v>15</v>
      </c>
      <c r="B15" s="18"/>
      <c r="C15" s="21">
        <f ca="1">($C7+C11)+($C8+C12)*INT(MAX($F21:$F3533))</f>
        <v>59123.69651273932</v>
      </c>
      <c r="D15" s="21">
        <f ca="1">($C7+D11)+($C8+D12)*INT(MAX($F21:$F3533))</f>
        <v>59124.190182354345</v>
      </c>
      <c r="E15" s="16" t="s">
        <v>38</v>
      </c>
      <c r="F15" s="28">
        <f ca="1">+$C$15+$C$16*F14-15018.5-$C$5/24</f>
        <v>45147.6974359909</v>
      </c>
    </row>
    <row r="16" spans="1:6" x14ac:dyDescent="0.2">
      <c r="A16" s="22" t="s">
        <v>4</v>
      </c>
      <c r="B16" s="18"/>
      <c r="C16" s="23">
        <f ca="1">+$C8+C12</f>
        <v>2.8747726618434326</v>
      </c>
      <c r="D16" s="19">
        <f ca="1">+$C8+D12</f>
        <v>2.8747731723364089</v>
      </c>
      <c r="E16" s="29"/>
      <c r="F16" s="29" t="s">
        <v>33</v>
      </c>
    </row>
    <row r="17" spans="1:19" ht="13.5" thickBot="1" x14ac:dyDescent="0.25">
      <c r="A17" s="15" t="s">
        <v>27</v>
      </c>
      <c r="C17">
        <f>COUNT(C21:C1247)</f>
        <v>7</v>
      </c>
    </row>
    <row r="18" spans="1:19" ht="14.25" thickTop="1" thickBot="1" x14ac:dyDescent="0.25">
      <c r="A18" s="4" t="s">
        <v>21</v>
      </c>
      <c r="C18" s="1">
        <f ca="1">+C15</f>
        <v>59123.69651273932</v>
      </c>
      <c r="D18" s="2">
        <f ca="1">+C16</f>
        <v>2.8747726618434326</v>
      </c>
      <c r="E18" s="30">
        <f>R19</f>
        <v>4</v>
      </c>
    </row>
    <row r="19" spans="1:19" ht="14.25" thickTop="1" thickBot="1" x14ac:dyDescent="0.25">
      <c r="A19" s="4" t="s">
        <v>22</v>
      </c>
      <c r="C19" s="1">
        <f ca="1">+D15</f>
        <v>59124.190182354345</v>
      </c>
      <c r="D19" s="2">
        <f ca="1">+D16</f>
        <v>2.8747731723364089</v>
      </c>
      <c r="E19" s="30">
        <f>S19</f>
        <v>3</v>
      </c>
      <c r="R19">
        <f>COUNT(R21:R322)</f>
        <v>4</v>
      </c>
      <c r="S19">
        <f>COUNT(S21:S322)</f>
        <v>3</v>
      </c>
    </row>
    <row r="20" spans="1:19" ht="14.25" thickTop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50</v>
      </c>
      <c r="I20" s="6" t="s">
        <v>51</v>
      </c>
      <c r="J20" s="6" t="s">
        <v>52</v>
      </c>
      <c r="K20" s="6" t="s">
        <v>53</v>
      </c>
      <c r="L20" s="6" t="s">
        <v>25</v>
      </c>
      <c r="M20" s="6" t="s">
        <v>17</v>
      </c>
      <c r="N20" s="6" t="s">
        <v>20</v>
      </c>
      <c r="O20" s="6" t="s">
        <v>23</v>
      </c>
      <c r="P20" s="5" t="s">
        <v>24</v>
      </c>
      <c r="Q20" s="3" t="s">
        <v>12</v>
      </c>
      <c r="R20" s="5" t="s">
        <v>18</v>
      </c>
      <c r="S20" s="5" t="s">
        <v>19</v>
      </c>
    </row>
    <row r="21" spans="1:19" s="7" customFormat="1" ht="12" customHeight="1" x14ac:dyDescent="0.2">
      <c r="A21" s="7" t="s">
        <v>43</v>
      </c>
      <c r="C21" s="8">
        <v>51364.686000000002</v>
      </c>
      <c r="D21" s="8" t="s">
        <v>26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I21" s="7">
        <f t="shared" ref="I21:I26" si="3">+G21</f>
        <v>0</v>
      </c>
      <c r="O21" s="7">
        <f t="shared" ref="O21:P26" ca="1" si="4">+C$11+C$12*$F21</f>
        <v>-9.0157610417385126E-4</v>
      </c>
      <c r="P21" s="7">
        <f t="shared" ca="1" si="4"/>
        <v>0.49139021837652558</v>
      </c>
      <c r="Q21" s="46">
        <f t="shared" ref="Q21:Q26" si="5">+C21-15018.5</f>
        <v>36346.186000000002</v>
      </c>
      <c r="R21" s="7">
        <f>G21</f>
        <v>0</v>
      </c>
    </row>
    <row r="22" spans="1:19" s="7" customFormat="1" ht="12" customHeight="1" x14ac:dyDescent="0.2">
      <c r="A22" s="47" t="s">
        <v>44</v>
      </c>
      <c r="B22" s="48" t="s">
        <v>45</v>
      </c>
      <c r="C22" s="8">
        <v>54034.404490000001</v>
      </c>
      <c r="D22" s="8">
        <v>5.0000000000000001E-4</v>
      </c>
      <c r="E22" s="7">
        <f t="shared" si="0"/>
        <v>928.67849030350442</v>
      </c>
      <c r="F22" s="7">
        <f t="shared" si="1"/>
        <v>928.5</v>
      </c>
      <c r="G22" s="7">
        <f t="shared" si="2"/>
        <v>0.51311500000156229</v>
      </c>
      <c r="I22" s="7">
        <f t="shared" si="3"/>
        <v>0.51311500000156229</v>
      </c>
      <c r="O22" s="7">
        <f t="shared" ca="1" si="4"/>
        <v>2.0139945522870396E-2</v>
      </c>
      <c r="P22" s="7">
        <f t="shared" ca="1" si="4"/>
        <v>0.51290573273225493</v>
      </c>
      <c r="Q22" s="46">
        <f t="shared" si="5"/>
        <v>39015.904490000001</v>
      </c>
      <c r="S22" s="7">
        <f>G22</f>
        <v>0.51311500000156229</v>
      </c>
    </row>
    <row r="23" spans="1:19" s="7" customFormat="1" ht="12" customHeight="1" x14ac:dyDescent="0.2">
      <c r="A23" s="9" t="s">
        <v>44</v>
      </c>
      <c r="B23" s="34" t="s">
        <v>46</v>
      </c>
      <c r="C23" s="35">
        <v>54241.387730000002</v>
      </c>
      <c r="D23" s="35">
        <v>2.9999999999999997E-4</v>
      </c>
      <c r="E23" s="7">
        <f t="shared" si="0"/>
        <v>1000.6789216453607</v>
      </c>
      <c r="F23" s="7">
        <f t="shared" si="1"/>
        <v>1000.5</v>
      </c>
      <c r="G23" s="7">
        <f t="shared" si="2"/>
        <v>0.51435499999934109</v>
      </c>
      <c r="I23" s="7">
        <f t="shared" si="3"/>
        <v>0.51435499999934109</v>
      </c>
      <c r="O23" s="7">
        <f t="shared" ca="1" si="4"/>
        <v>2.1771598250007917E-2</v>
      </c>
      <c r="P23" s="7">
        <f t="shared" ca="1" si="4"/>
        <v>0.5145741409537008</v>
      </c>
      <c r="Q23" s="46">
        <f t="shared" si="5"/>
        <v>39222.887730000002</v>
      </c>
      <c r="S23" s="7">
        <f>G23</f>
        <v>0.51435499999934109</v>
      </c>
    </row>
    <row r="24" spans="1:19" s="7" customFormat="1" ht="12" customHeight="1" x14ac:dyDescent="0.2">
      <c r="A24" s="36" t="s">
        <v>47</v>
      </c>
      <c r="B24" s="37" t="s">
        <v>46</v>
      </c>
      <c r="C24" s="38">
        <v>55820.580699999999</v>
      </c>
      <c r="D24" s="38">
        <v>1E-4</v>
      </c>
      <c r="E24" s="7">
        <f t="shared" si="0"/>
        <v>1550.0112009739967</v>
      </c>
      <c r="F24" s="7">
        <f t="shared" si="1"/>
        <v>1550</v>
      </c>
      <c r="G24" s="7">
        <f t="shared" si="2"/>
        <v>3.2199999994190875E-2</v>
      </c>
      <c r="I24" s="7">
        <f t="shared" si="3"/>
        <v>3.2199999994190875E-2</v>
      </c>
      <c r="O24" s="7">
        <f t="shared" ca="1" si="4"/>
        <v>3.4224281216147727E-2</v>
      </c>
      <c r="P24" s="7">
        <f t="shared" ca="1" si="4"/>
        <v>0.52730733981043032</v>
      </c>
      <c r="Q24" s="46">
        <f t="shared" si="5"/>
        <v>40802.080699999999</v>
      </c>
      <c r="R24" s="7">
        <f>G24</f>
        <v>3.2199999994190875E-2</v>
      </c>
    </row>
    <row r="25" spans="1:19" s="7" customFormat="1" ht="12" customHeight="1" x14ac:dyDescent="0.2">
      <c r="A25" s="39" t="s">
        <v>48</v>
      </c>
      <c r="B25" s="40" t="s">
        <v>46</v>
      </c>
      <c r="C25" s="38">
        <v>57246.469799999999</v>
      </c>
      <c r="D25" s="38">
        <v>2.69E-2</v>
      </c>
      <c r="E25" s="7">
        <f t="shared" si="0"/>
        <v>2046.0157578919896</v>
      </c>
      <c r="F25" s="7">
        <f t="shared" si="1"/>
        <v>2046</v>
      </c>
      <c r="G25" s="7">
        <f t="shared" si="2"/>
        <v>4.529999999795109E-2</v>
      </c>
      <c r="I25" s="7">
        <f t="shared" si="3"/>
        <v>4.529999999795109E-2</v>
      </c>
      <c r="O25" s="7">
        <f t="shared" ca="1" si="4"/>
        <v>4.5464555558650629E-2</v>
      </c>
      <c r="P25" s="7">
        <f t="shared" ca="1" si="4"/>
        <v>0.53880081866927987</v>
      </c>
      <c r="Q25" s="46">
        <f t="shared" si="5"/>
        <v>42227.969799999999</v>
      </c>
      <c r="R25" s="7">
        <f>G25</f>
        <v>4.529999999795109E-2</v>
      </c>
    </row>
    <row r="26" spans="1:19" s="7" customFormat="1" ht="12" customHeight="1" x14ac:dyDescent="0.2">
      <c r="A26" s="41" t="s">
        <v>49</v>
      </c>
      <c r="B26" s="42" t="s">
        <v>46</v>
      </c>
      <c r="C26" s="43">
        <v>58628.291819999999</v>
      </c>
      <c r="D26" s="43">
        <v>3.3E-4</v>
      </c>
      <c r="E26" s="7">
        <f t="shared" si="0"/>
        <v>2526.6913018523337</v>
      </c>
      <c r="F26" s="7">
        <f t="shared" si="1"/>
        <v>2526.5</v>
      </c>
      <c r="G26" s="7">
        <f t="shared" si="2"/>
        <v>0.54994499999884283</v>
      </c>
      <c r="I26" s="7">
        <f t="shared" si="3"/>
        <v>0.54994499999884283</v>
      </c>
      <c r="O26" s="7">
        <f t="shared" ca="1" si="4"/>
        <v>5.6353571327950318E-2</v>
      </c>
      <c r="P26" s="7">
        <f t="shared" ca="1" si="4"/>
        <v>0.54993512631379027</v>
      </c>
      <c r="Q26" s="46">
        <f t="shared" si="5"/>
        <v>43609.791819999999</v>
      </c>
      <c r="S26" s="7">
        <f>G26</f>
        <v>0.54994499999884283</v>
      </c>
    </row>
    <row r="27" spans="1:19" s="7" customFormat="1" ht="12" customHeight="1" x14ac:dyDescent="0.2">
      <c r="A27" s="44" t="s">
        <v>54</v>
      </c>
      <c r="B27" s="45" t="s">
        <v>46</v>
      </c>
      <c r="C27" s="49">
        <v>59123.697800000002</v>
      </c>
      <c r="D27" s="50">
        <v>1.6000000000000001E-3</v>
      </c>
      <c r="E27" s="7">
        <f t="shared" ref="E27" si="6">+(C27-C$7)/C$8</f>
        <v>2699.0214105574396</v>
      </c>
      <c r="F27" s="7">
        <f t="shared" ref="F27" si="7">ROUND(2*E27,0)/2</f>
        <v>2699</v>
      </c>
      <c r="G27" s="7">
        <f t="shared" ref="G27" si="8">+C27-(C$7+F27*C$8)</f>
        <v>6.1549999998533167E-2</v>
      </c>
      <c r="I27" s="7">
        <f t="shared" ref="I27" si="9">+G27</f>
        <v>6.1549999998533167E-2</v>
      </c>
      <c r="O27" s="7">
        <f t="shared" ref="O27" ca="1" si="10">+C$11+C$12*$F27</f>
        <v>6.0262739320050628E-2</v>
      </c>
      <c r="P27" s="7">
        <f t="shared" ref="P27" ca="1" si="11">+D$11+D$12*$F27</f>
        <v>0.55393235434433774</v>
      </c>
      <c r="Q27" s="46">
        <f t="shared" ref="Q27" si="12">+C27-15018.5</f>
        <v>44105.197800000002</v>
      </c>
      <c r="R27" s="7">
        <f>G27</f>
        <v>6.1549999998533167E-2</v>
      </c>
    </row>
    <row r="28" spans="1:19" s="7" customFormat="1" ht="12" customHeight="1" x14ac:dyDescent="0.2">
      <c r="C28" s="8"/>
      <c r="D28" s="8"/>
      <c r="Q28" s="46"/>
    </row>
    <row r="29" spans="1:19" s="7" customFormat="1" ht="12" customHeight="1" x14ac:dyDescent="0.2">
      <c r="A29" s="11"/>
      <c r="B29" s="12"/>
      <c r="C29" s="8"/>
      <c r="D29" s="8"/>
      <c r="Q29" s="46"/>
    </row>
    <row r="30" spans="1:19" s="7" customFormat="1" ht="12" customHeight="1" x14ac:dyDescent="0.2">
      <c r="A30" s="9"/>
      <c r="B30" s="48"/>
      <c r="C30" s="8"/>
      <c r="D30" s="8"/>
      <c r="Q30" s="46"/>
    </row>
    <row r="31" spans="1:19" s="7" customFormat="1" ht="12" customHeight="1" x14ac:dyDescent="0.2">
      <c r="A31" s="11"/>
      <c r="B31" s="13"/>
      <c r="C31" s="8"/>
      <c r="D31" s="8"/>
      <c r="Q31" s="46"/>
    </row>
    <row r="32" spans="1:19" s="7" customFormat="1" ht="12" customHeight="1" x14ac:dyDescent="0.2">
      <c r="A32" s="11"/>
      <c r="B32" s="13"/>
      <c r="C32" s="8"/>
      <c r="D32" s="8"/>
      <c r="Q32" s="46"/>
    </row>
    <row r="33" spans="1:17" s="7" customFormat="1" ht="12" customHeight="1" x14ac:dyDescent="0.2">
      <c r="A33" s="14"/>
      <c r="B33" s="48"/>
      <c r="C33" s="8"/>
      <c r="D33" s="8"/>
      <c r="Q33" s="46"/>
    </row>
    <row r="34" spans="1:17" s="7" customFormat="1" ht="12" customHeight="1" x14ac:dyDescent="0.2">
      <c r="A34" s="14"/>
      <c r="B34" s="48"/>
      <c r="C34" s="8"/>
      <c r="D34" s="8"/>
      <c r="Q34" s="46"/>
    </row>
    <row r="35" spans="1:17" s="7" customFormat="1" ht="12" customHeight="1" x14ac:dyDescent="0.2">
      <c r="A35" s="14"/>
      <c r="B35" s="48"/>
      <c r="C35" s="8"/>
      <c r="D35" s="8"/>
      <c r="Q35" s="46"/>
    </row>
    <row r="36" spans="1:17" s="7" customFormat="1" ht="12" customHeight="1" x14ac:dyDescent="0.2"/>
    <row r="37" spans="1:17" ht="12" customHeight="1" x14ac:dyDescent="0.2"/>
  </sheetData>
  <protectedRanges>
    <protectedRange sqref="A26:D2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2023-08-06T23:46:00Z</dcterms:modified>
</cp:coreProperties>
</file>