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1F4AE80-B428-4CEA-BA25-FD2C63872417}" xr6:coauthVersionLast="47" xr6:coauthVersionMax="47" xr10:uidLastSave="{00000000-0000-0000-0000-000000000000}"/>
  <bookViews>
    <workbookView xWindow="14340" yWindow="315" windowWidth="13470" windowHeight="14595" xr2:uid="{00000000-000D-0000-FFFF-FFFF00000000}"/>
  </bookViews>
  <sheets>
    <sheet name="Active" sheetId="1" r:id="rId1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4" i="1" l="1"/>
  <c r="F34" i="1"/>
  <c r="G34" i="1" s="1"/>
  <c r="Q34" i="1"/>
  <c r="E32" i="1"/>
  <c r="F32" i="1" s="1"/>
  <c r="Q32" i="1"/>
  <c r="E33" i="1"/>
  <c r="F33" i="1" s="1"/>
  <c r="G33" i="1" s="1"/>
  <c r="Q33" i="1"/>
  <c r="E31" i="1"/>
  <c r="F31" i="1"/>
  <c r="G31" i="1"/>
  <c r="Q31" i="1"/>
  <c r="E27" i="1"/>
  <c r="F27" i="1"/>
  <c r="G27" i="1"/>
  <c r="E28" i="1"/>
  <c r="F28" i="1"/>
  <c r="G28" i="1"/>
  <c r="E26" i="1"/>
  <c r="F26" i="1"/>
  <c r="G26" i="1"/>
  <c r="E29" i="1"/>
  <c r="F29" i="1"/>
  <c r="G29" i="1"/>
  <c r="E30" i="1"/>
  <c r="F30" i="1"/>
  <c r="G30" i="1"/>
  <c r="D9" i="1"/>
  <c r="C9" i="1"/>
  <c r="Q28" i="1"/>
  <c r="Q27" i="1"/>
  <c r="D13" i="1"/>
  <c r="D11" i="1"/>
  <c r="W17" i="1" s="1"/>
  <c r="D12" i="1"/>
  <c r="Q29" i="1"/>
  <c r="Q30" i="1"/>
  <c r="E23" i="1"/>
  <c r="F23" i="1"/>
  <c r="G23" i="1"/>
  <c r="E24" i="1"/>
  <c r="F24" i="1"/>
  <c r="G24" i="1"/>
  <c r="E25" i="1"/>
  <c r="F25" i="1"/>
  <c r="G25" i="1"/>
  <c r="E21" i="1"/>
  <c r="F21" i="1"/>
  <c r="E22" i="1"/>
  <c r="F22" i="1"/>
  <c r="G22" i="1"/>
  <c r="Q23" i="1"/>
  <c r="Q24" i="1"/>
  <c r="Q25" i="1"/>
  <c r="Q26" i="1"/>
  <c r="C21" i="1"/>
  <c r="Q21" i="1"/>
  <c r="Q22" i="1"/>
  <c r="A21" i="1"/>
  <c r="F16" i="1"/>
  <c r="F17" i="1" s="1"/>
  <c r="C17" i="1"/>
  <c r="J22" i="1"/>
  <c r="R22" i="1"/>
  <c r="T22" i="1"/>
  <c r="R23" i="1"/>
  <c r="T23" i="1"/>
  <c r="K23" i="1"/>
  <c r="R31" i="1"/>
  <c r="T31" i="1"/>
  <c r="K31" i="1"/>
  <c r="K30" i="1"/>
  <c r="R30" i="1"/>
  <c r="T30" i="1"/>
  <c r="R29" i="1"/>
  <c r="T29" i="1"/>
  <c r="K29" i="1"/>
  <c r="K25" i="1"/>
  <c r="R25" i="1"/>
  <c r="T25" i="1"/>
  <c r="K28" i="1"/>
  <c r="R28" i="1"/>
  <c r="T28" i="1"/>
  <c r="K26" i="1"/>
  <c r="R26" i="1"/>
  <c r="T26" i="1"/>
  <c r="R24" i="1"/>
  <c r="T24" i="1"/>
  <c r="K24" i="1"/>
  <c r="R27" i="1"/>
  <c r="T27" i="1"/>
  <c r="K27" i="1"/>
  <c r="W3" i="1"/>
  <c r="G21" i="1"/>
  <c r="K21" i="1"/>
  <c r="W13" i="1"/>
  <c r="P21" i="1"/>
  <c r="R21" i="1" s="1"/>
  <c r="T21" i="1" s="1"/>
  <c r="W9" i="1"/>
  <c r="R34" i="1" l="1"/>
  <c r="T34" i="1" s="1"/>
  <c r="K34" i="1"/>
  <c r="W8" i="1"/>
  <c r="W7" i="1"/>
  <c r="W12" i="1"/>
  <c r="W5" i="1"/>
  <c r="W2" i="1"/>
  <c r="W16" i="1"/>
  <c r="W10" i="1"/>
  <c r="W15" i="1"/>
  <c r="W14" i="1"/>
  <c r="W4" i="1"/>
  <c r="W6" i="1"/>
  <c r="W11" i="1"/>
  <c r="W18" i="1"/>
  <c r="R33" i="1"/>
  <c r="T33" i="1" s="1"/>
  <c r="K33" i="1"/>
  <c r="G32" i="1"/>
  <c r="D15" i="1"/>
  <c r="C19" i="1" s="1"/>
  <c r="D16" i="1"/>
  <c r="D19" i="1" s="1"/>
  <c r="C11" i="1"/>
  <c r="C12" i="1"/>
  <c r="O34" i="1" l="1"/>
  <c r="O32" i="1"/>
  <c r="O33" i="1"/>
  <c r="O24" i="1"/>
  <c r="O21" i="1"/>
  <c r="C15" i="1"/>
  <c r="C18" i="1" s="1"/>
  <c r="O30" i="1"/>
  <c r="O28" i="1"/>
  <c r="O22" i="1"/>
  <c r="O26" i="1"/>
  <c r="O25" i="1"/>
  <c r="O23" i="1"/>
  <c r="O29" i="1"/>
  <c r="O27" i="1"/>
  <c r="O31" i="1"/>
  <c r="C16" i="1"/>
  <c r="D18" i="1" s="1"/>
  <c r="R32" i="1"/>
  <c r="T32" i="1" s="1"/>
  <c r="E14" i="1" s="1"/>
  <c r="K32" i="1"/>
  <c r="F18" i="1" l="1"/>
  <c r="F19" i="1" s="1"/>
</calcChain>
</file>

<file path=xl/sharedStrings.xml><?xml version="1.0" encoding="utf-8"?>
<sst xmlns="http://schemas.openxmlformats.org/spreadsheetml/2006/main" count="84" uniqueCount="60">
  <si>
    <t>IBVS 6244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</si>
  <si>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</si>
  <si>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</si>
  <si>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</si>
  <si>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</si>
  <si>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</si>
  <si>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BAD?</t>
  </si>
  <si>
    <t>PE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</si>
  <si>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</si>
  <si>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</si>
  <si>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</si>
  <si>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</si>
  <si>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</si>
  <si>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</si>
  <si>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</si>
  <si>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</si>
  <si>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</si>
  <si>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</si>
  <si>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</si>
  <si>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</si>
  <si>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</si>
  <si>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</si>
  <si>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</si>
  <si>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</si>
  <si>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</si>
  <si>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</si>
  <si>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</si>
  <si>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</si>
  <si>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</si>
  <si>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</si>
  <si>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</si>
  <si>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</si>
  <si>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</si>
  <si>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</si>
  <si>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</si>
  <si>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</si>
  <si>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</si>
  <si>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</si>
  <si>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</si>
  <si>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</si>
  <si>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</si>
  <si>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</si>
  <si>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</si>
  <si>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</si>
  <si>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</si>
  <si>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</si>
  <si>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</si>
  <si>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V0960 Cep</t>
  </si>
  <si>
    <t>V0960 Cep / GSC 4479-0391</t>
  </si>
  <si>
    <t>EW</t>
  </si>
  <si>
    <t>VSX</t>
  </si>
  <si>
    <t>IBVS 6070</t>
  </si>
  <si>
    <t>I</t>
  </si>
  <si>
    <t>G4479-0391</t>
  </si>
  <si>
    <t>vis</t>
  </si>
  <si>
    <t>OEJV 0179</t>
  </si>
  <si>
    <t>OEJV 0211</t>
  </si>
  <si>
    <t>JBAV, 60</t>
  </si>
  <si>
    <t>Ir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</si>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</sst>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9" formatCode="0.0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11" fontId="0" fillId="0" borderId="0" xfId="0" applyNumberFormat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11" fillId="0" borderId="8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13" fillId="0" borderId="0" xfId="0" applyFont="1" applyAlignment="1"/>
    <xf numFmtId="14" fontId="20" fillId="0" borderId="0" xfId="0" applyNumberFormat="1" applyFont="1" applyAlignment="1"/>
    <xf numFmtId="0" fontId="20" fillId="0" borderId="0" xfId="0" applyFont="1" applyAlignment="1"/>
    <xf numFmtId="0" fontId="33" fillId="0" borderId="0" xfId="0" applyFont="1" applyAlignment="1"/>
    <xf numFmtId="0" fontId="20" fillId="0" borderId="0" xfId="0" applyFont="1" applyAlignment="1">
      <alignment horizontal="center"/>
    </xf>
    <xf numFmtId="0" fontId="5" fillId="0" borderId="0" xfId="42" applyFont="1" applyAlignment="1">
      <alignment horizontal="left" wrapText="1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9" fontId="0" fillId="0" borderId="0" xfId="0" applyNumberFormat="1" applyAlignment="1">
      <alignment horizontal="left"/>
    </xf>
    <xf numFmtId="169" fontId="14" fillId="0" borderId="0" xfId="0" applyNumberFormat="1" applyFont="1" applyAlignment="1">
      <alignment horizontal="left"/>
    </xf>
    <xf numFmtId="169" fontId="5" fillId="0" borderId="0" xfId="42" applyNumberFormat="1" applyFont="1" applyAlignment="1">
      <alignment horizontal="left"/>
    </xf>
    <xf numFmtId="169" fontId="30" fillId="0" borderId="0" xfId="41" applyNumberFormat="1" applyFont="1" applyAlignment="1">
      <alignment horizontal="left"/>
    </xf>
    <xf numFmtId="169" fontId="5" fillId="0" borderId="0" xfId="42" applyNumberFormat="1" applyFont="1" applyAlignment="1">
      <alignment horizontal="left" wrapText="1"/>
    </xf>
    <xf numFmtId="169" fontId="35" fillId="0" borderId="0" xfId="0" applyNumberFormat="1" applyFont="1" applyAlignment="1">
      <alignment horizontal="left" vertical="center" wrapText="1"/>
    </xf>
    <xf numFmtId="169" fontId="35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V0960 Cep - O-C Diagr.</a:t>
            </a:r>
          </a:p>
        </c:rich>
      </c:tx>
      <c:layout>
        <c:manualLayout>
          <c:xMode val="edge"/>
          <c:yMode val="edge"/>
          <c:x val="0.3769123783031989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3953488372093023"/>
          <c:w val="0.8303198887343532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  <c:pt idx="13">
                  <c:v>14706.5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C4-4CFC-8EBF-331E95D278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  <c:pt idx="13">
                  <c:v>14706.5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C4-4CFC-8EBF-331E95D278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  <c:pt idx="13">
                  <c:v>14706.5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1.1792499994044192E-2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C4-4CFC-8EBF-331E95D278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  <c:pt idx="13">
                  <c:v>14706.5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2">
                  <c:v>3.6827500000072177E-2</c:v>
                </c:pt>
                <c:pt idx="3">
                  <c:v>3.711499999917578E-2</c:v>
                </c:pt>
                <c:pt idx="4">
                  <c:v>3.7322500000300352E-2</c:v>
                </c:pt>
                <c:pt idx="5">
                  <c:v>3.7060000002384186E-2</c:v>
                </c:pt>
                <c:pt idx="6">
                  <c:v>7.442749979236396E-2</c:v>
                </c:pt>
                <c:pt idx="7">
                  <c:v>7.5057499816466589E-2</c:v>
                </c:pt>
                <c:pt idx="8">
                  <c:v>7.63200000001234E-2</c:v>
                </c:pt>
                <c:pt idx="9">
                  <c:v>7.5827499997103587E-2</c:v>
                </c:pt>
                <c:pt idx="10">
                  <c:v>7.9122500123048667E-2</c:v>
                </c:pt>
                <c:pt idx="11">
                  <c:v>-5.093499999929918E-2</c:v>
                </c:pt>
                <c:pt idx="12">
                  <c:v>-5.3227500000502914E-2</c:v>
                </c:pt>
                <c:pt idx="13">
                  <c:v>-4.2402500002935994E-2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C4-4CFC-8EBF-331E95D278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  <c:pt idx="13">
                  <c:v>14706.5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C4-4CFC-8EBF-331E95D278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  <c:pt idx="13">
                  <c:v>14706.5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C4-4CFC-8EBF-331E95D278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  <c:pt idx="13">
                  <c:v>14706.5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C4-4CFC-8EBF-331E95D278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  <c:pt idx="13">
                  <c:v>14706.5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9.6513828163702797E-2</c:v>
                </c:pt>
                <c:pt idx="1">
                  <c:v>7.1933736406402674E-2</c:v>
                </c:pt>
                <c:pt idx="2">
                  <c:v>4.803383541693345E-2</c:v>
                </c:pt>
                <c:pt idx="3">
                  <c:v>4.7767974050826958E-2</c:v>
                </c:pt>
                <c:pt idx="4">
                  <c:v>4.7764521305812588E-2</c:v>
                </c:pt>
                <c:pt idx="5">
                  <c:v>4.7761068560798217E-2</c:v>
                </c:pt>
                <c:pt idx="6">
                  <c:v>2.6613005347781882E-2</c:v>
                </c:pt>
                <c:pt idx="7">
                  <c:v>2.6447273587092132E-2</c:v>
                </c:pt>
                <c:pt idx="8">
                  <c:v>2.616069575089941E-2</c:v>
                </c:pt>
                <c:pt idx="9">
                  <c:v>2.6157243005885053E-2</c:v>
                </c:pt>
                <c:pt idx="10">
                  <c:v>2.48382944103957E-2</c:v>
                </c:pt>
                <c:pt idx="11">
                  <c:v>2.9375327842467158E-3</c:v>
                </c:pt>
                <c:pt idx="12">
                  <c:v>2.9340800392323452E-3</c:v>
                </c:pt>
                <c:pt idx="13">
                  <c:v>-5.0417609439623867E-3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C4-4CFC-8EBF-331E95D2786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  <c:pt idx="13">
                  <c:v>14706.5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C4-4CFC-8EBF-331E95D2786C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7.3541297834420205E-15</c:v>
                </c:pt>
                <c:pt idx="1">
                  <c:v>3.4000000000073542E-3</c:v>
                </c:pt>
                <c:pt idx="2">
                  <c:v>7.6000000000073543E-3</c:v>
                </c:pt>
                <c:pt idx="3">
                  <c:v>1.2600000000007355E-2</c:v>
                </c:pt>
                <c:pt idx="4">
                  <c:v>1.8400000000007355E-2</c:v>
                </c:pt>
                <c:pt idx="5">
                  <c:v>2.5000000000007357E-2</c:v>
                </c:pt>
                <c:pt idx="6">
                  <c:v>3.240000000000736E-2</c:v>
                </c:pt>
                <c:pt idx="7">
                  <c:v>4.0600000000007352E-2</c:v>
                </c:pt>
                <c:pt idx="8">
                  <c:v>4.960000000000736E-2</c:v>
                </c:pt>
                <c:pt idx="9">
                  <c:v>5.940000000000735E-2</c:v>
                </c:pt>
                <c:pt idx="10">
                  <c:v>7.0000000000007362E-2</c:v>
                </c:pt>
                <c:pt idx="11">
                  <c:v>8.1400000000007355E-2</c:v>
                </c:pt>
                <c:pt idx="12">
                  <c:v>9.3600000000007372E-2</c:v>
                </c:pt>
                <c:pt idx="13">
                  <c:v>0.10660000000000736</c:v>
                </c:pt>
                <c:pt idx="14">
                  <c:v>0.12040000000000736</c:v>
                </c:pt>
                <c:pt idx="15">
                  <c:v>0.13500000000000734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AC4-4CFC-8EBF-331E95D27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265312"/>
        <c:axId val="1"/>
      </c:scatterChart>
      <c:valAx>
        <c:axId val="870265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0265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193324061196107"/>
          <c:y val="0.92441860465116277"/>
          <c:w val="0.75243393602225317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E8C8E37-1E00-BC63-2509-5A4EC0844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4.7109375" style="3" customWidth="1"/>
  </cols>
  <sheetData>
    <row r="1" spans="1:23" ht="21" thickBot="1" x14ac:dyDescent="0.35">
      <c r="A1" s="1" t="s">
        <v>48</v>
      </c>
      <c r="V1" s="4" t="s">
        <v>20</v>
      </c>
      <c r="W1" s="6" t="s">
        <v>31</v>
      </c>
    </row>
    <row r="2" spans="1:23" x14ac:dyDescent="0.2">
      <c r="A2" t="s">
        <v>33</v>
      </c>
      <c r="B2" t="s">
        <v>49</v>
      </c>
      <c r="C2" s="3"/>
      <c r="D2" s="3"/>
      <c r="E2" s="10" t="s">
        <v>47</v>
      </c>
      <c r="F2" t="s">
        <v>53</v>
      </c>
      <c r="V2" s="45">
        <v>0</v>
      </c>
      <c r="W2" s="45">
        <f t="shared" ref="W2:W18" si="0">+D$11+D$12*V2+D$13*V2^2</f>
        <v>7.3541297834420205E-15</v>
      </c>
    </row>
    <row r="3" spans="1:23" ht="13.5" thickBot="1" x14ac:dyDescent="0.25">
      <c r="V3" s="45">
        <v>1000</v>
      </c>
      <c r="W3" s="45">
        <f t="shared" si="0"/>
        <v>3.4000000000073542E-3</v>
      </c>
    </row>
    <row r="4" spans="1:23" ht="14.25" thickTop="1" thickBot="1" x14ac:dyDescent="0.25">
      <c r="A4" s="5" t="s">
        <v>11</v>
      </c>
      <c r="C4" s="24" t="s">
        <v>46</v>
      </c>
      <c r="D4" s="25" t="s">
        <v>46</v>
      </c>
      <c r="V4" s="45">
        <v>2000</v>
      </c>
      <c r="W4" s="45">
        <f t="shared" si="0"/>
        <v>7.6000000000073543E-3</v>
      </c>
    </row>
    <row r="5" spans="1:23" ht="13.5" thickTop="1" x14ac:dyDescent="0.2">
      <c r="A5" s="9" t="s">
        <v>38</v>
      </c>
      <c r="B5" s="10"/>
      <c r="C5" s="11">
        <v>-9.5</v>
      </c>
      <c r="D5" s="10" t="s">
        <v>39</v>
      </c>
      <c r="V5" s="45">
        <v>3000</v>
      </c>
      <c r="W5" s="45">
        <f t="shared" si="0"/>
        <v>1.2600000000007355E-2</v>
      </c>
    </row>
    <row r="6" spans="1:23" x14ac:dyDescent="0.2">
      <c r="A6" s="5" t="s">
        <v>12</v>
      </c>
      <c r="V6" s="45">
        <v>4000</v>
      </c>
      <c r="W6" s="45">
        <f t="shared" si="0"/>
        <v>1.8400000000007355E-2</v>
      </c>
    </row>
    <row r="7" spans="1:23" x14ac:dyDescent="0.2">
      <c r="A7" t="s">
        <v>13</v>
      </c>
      <c r="C7" s="8">
        <v>54585.647400000002</v>
      </c>
      <c r="D7" s="26" t="s">
        <v>50</v>
      </c>
      <c r="V7" s="45">
        <v>5000</v>
      </c>
      <c r="W7" s="45">
        <f t="shared" si="0"/>
        <v>2.5000000000007357E-2</v>
      </c>
    </row>
    <row r="8" spans="1:23" x14ac:dyDescent="0.2">
      <c r="A8" t="s">
        <v>14</v>
      </c>
      <c r="C8" s="8">
        <v>0.33398499999999998</v>
      </c>
      <c r="D8" s="26" t="s">
        <v>50</v>
      </c>
      <c r="V8" s="45">
        <v>6000</v>
      </c>
      <c r="W8" s="45">
        <f t="shared" si="0"/>
        <v>3.240000000000736E-2</v>
      </c>
    </row>
    <row r="9" spans="1:23" x14ac:dyDescent="0.2">
      <c r="A9" s="22" t="s">
        <v>42</v>
      </c>
      <c r="B9" s="23">
        <v>22</v>
      </c>
      <c r="C9" s="20" t="str">
        <f>"F"&amp;B9</f>
        <v>F22</v>
      </c>
      <c r="D9" s="21" t="str">
        <f>"G"&amp;B9</f>
        <v>G22</v>
      </c>
      <c r="V9" s="45">
        <v>7000</v>
      </c>
      <c r="W9" s="45">
        <f t="shared" si="0"/>
        <v>4.0600000000007352E-2</v>
      </c>
    </row>
    <row r="10" spans="1:23" ht="13.5" thickBot="1" x14ac:dyDescent="0.25">
      <c r="A10" s="10"/>
      <c r="B10" s="10"/>
      <c r="C10" s="4" t="s">
        <v>29</v>
      </c>
      <c r="D10" s="4" t="s">
        <v>30</v>
      </c>
      <c r="E10" s="10"/>
      <c r="V10" s="45">
        <v>8000</v>
      </c>
      <c r="W10" s="45">
        <f t="shared" si="0"/>
        <v>4.960000000000736E-2</v>
      </c>
    </row>
    <row r="11" spans="1:23" x14ac:dyDescent="0.2">
      <c r="A11" s="10" t="s">
        <v>25</v>
      </c>
      <c r="B11" s="10"/>
      <c r="C11" s="19">
        <f ca="1">INTERCEPT(INDIRECT($D$9):G992,INDIRECT($C$9):F992)</f>
        <v>9.6513828163702797E-2</v>
      </c>
      <c r="D11" s="3">
        <f>+E11*F11</f>
        <v>7.3541297834420205E-15</v>
      </c>
      <c r="E11" s="33">
        <v>7.3541297834420205E-15</v>
      </c>
      <c r="F11">
        <v>1</v>
      </c>
      <c r="V11" s="45">
        <v>9000</v>
      </c>
      <c r="W11" s="45">
        <f t="shared" si="0"/>
        <v>5.940000000000735E-2</v>
      </c>
    </row>
    <row r="12" spans="1:23" x14ac:dyDescent="0.2">
      <c r="A12" s="10" t="s">
        <v>26</v>
      </c>
      <c r="B12" s="10"/>
      <c r="C12" s="19">
        <f ca="1">SLOPE(INDIRECT($D$9):G992,INDIRECT($C$9):F992)</f>
        <v>-6.9054900287400256E-6</v>
      </c>
      <c r="D12" s="3">
        <f>+E12*F12</f>
        <v>3.0000000000000001E-6</v>
      </c>
      <c r="E12" s="34">
        <v>0.03</v>
      </c>
      <c r="F12" s="35">
        <v>1E-4</v>
      </c>
      <c r="V12" s="45">
        <v>10000</v>
      </c>
      <c r="W12" s="45">
        <f t="shared" si="0"/>
        <v>7.0000000000007362E-2</v>
      </c>
    </row>
    <row r="13" spans="1:23" ht="13.5" thickBot="1" x14ac:dyDescent="0.25">
      <c r="A13" s="10" t="s">
        <v>28</v>
      </c>
      <c r="B13" s="10"/>
      <c r="C13" s="3" t="s">
        <v>23</v>
      </c>
      <c r="D13" s="3">
        <f>+E13*F13</f>
        <v>4.0000000000000001E-10</v>
      </c>
      <c r="E13" s="36">
        <v>0.04</v>
      </c>
      <c r="F13" s="35">
        <v>1E-8</v>
      </c>
      <c r="V13" s="45">
        <v>11000</v>
      </c>
      <c r="W13" s="45">
        <f t="shared" si="0"/>
        <v>8.1400000000007355E-2</v>
      </c>
    </row>
    <row r="14" spans="1:23" x14ac:dyDescent="0.2">
      <c r="A14" s="10"/>
      <c r="B14" s="10"/>
      <c r="C14" s="10"/>
      <c r="E14">
        <f>SUM(T21:T950)</f>
        <v>3.3755606779154235E-2</v>
      </c>
      <c r="V14" s="45">
        <v>12000</v>
      </c>
      <c r="W14" s="45">
        <f t="shared" si="0"/>
        <v>9.3600000000007372E-2</v>
      </c>
    </row>
    <row r="15" spans="1:23" x14ac:dyDescent="0.2">
      <c r="A15" s="12" t="s">
        <v>27</v>
      </c>
      <c r="B15" s="10"/>
      <c r="C15" s="13">
        <f ca="1">(C7+C11)+(C8+C12)*INT(MAX(F21:F3533))</f>
        <v>59497.225771691796</v>
      </c>
      <c r="D15" s="21">
        <f>+C7+INT(MAX(F21:F1588))*C8+D11+D12*INT(MAX(F21:F4023))+D13*INT(MAX(F21:F4050)^2)</f>
        <v>59497.3614404568</v>
      </c>
      <c r="E15" s="14" t="s">
        <v>43</v>
      </c>
      <c r="F15" s="11">
        <v>1</v>
      </c>
      <c r="V15" s="45">
        <v>13000</v>
      </c>
      <c r="W15" s="45">
        <f t="shared" si="0"/>
        <v>0.10660000000000736</v>
      </c>
    </row>
    <row r="16" spans="1:23" x14ac:dyDescent="0.2">
      <c r="A16" s="16" t="s">
        <v>15</v>
      </c>
      <c r="B16" s="10"/>
      <c r="C16" s="17">
        <f ca="1">+C8+C12</f>
        <v>0.33397809450997124</v>
      </c>
      <c r="D16" s="21">
        <f>+C8+D12+2*D13*MAX(F21:F896)</f>
        <v>0.33399976519999997</v>
      </c>
      <c r="E16" s="14" t="s">
        <v>40</v>
      </c>
      <c r="F16" s="15">
        <f ca="1">NOW()+15018.5+$C$5/24</f>
        <v>60170.717742476852</v>
      </c>
      <c r="V16" s="45">
        <v>14000</v>
      </c>
      <c r="W16" s="45">
        <f t="shared" si="0"/>
        <v>0.12040000000000736</v>
      </c>
    </row>
    <row r="17" spans="1:23" ht="13.5" thickBot="1" x14ac:dyDescent="0.25">
      <c r="A17" s="14" t="s">
        <v>37</v>
      </c>
      <c r="B17" s="10"/>
      <c r="C17" s="10">
        <f>COUNT(C21:C2191)</f>
        <v>14</v>
      </c>
      <c r="E17" s="14" t="s">
        <v>44</v>
      </c>
      <c r="F17" s="15">
        <f ca="1">ROUND(2*(F16-$C$7)/$C$8,0)/2+F15</f>
        <v>16723.5</v>
      </c>
      <c r="V17" s="45">
        <v>15000</v>
      </c>
      <c r="W17" s="45">
        <f t="shared" si="0"/>
        <v>0.13500000000000734</v>
      </c>
    </row>
    <row r="18" spans="1:23" ht="14.25" thickTop="1" thickBot="1" x14ac:dyDescent="0.25">
      <c r="A18" s="5" t="s">
        <v>1</v>
      </c>
      <c r="C18" s="37">
        <f ca="1">+C15</f>
        <v>59497.225771691796</v>
      </c>
      <c r="D18" s="38">
        <f ca="1">C16</f>
        <v>0.33397809450997124</v>
      </c>
      <c r="E18" s="14" t="s">
        <v>45</v>
      </c>
      <c r="F18" s="21">
        <f ca="1">ROUND(2*(F16-$C$15)/$C$16,0)/2+F15</f>
        <v>2017.5</v>
      </c>
      <c r="V18" s="45">
        <v>16000</v>
      </c>
      <c r="W18" s="45">
        <f t="shared" si="0"/>
        <v>0.15040000000000736</v>
      </c>
    </row>
    <row r="19" spans="1:23" ht="13.5" thickBot="1" x14ac:dyDescent="0.25">
      <c r="A19" s="5" t="s">
        <v>2</v>
      </c>
      <c r="C19" s="39">
        <f>+D15</f>
        <v>59497.3614404568</v>
      </c>
      <c r="D19" s="40">
        <f>+D16</f>
        <v>0.33399976519999997</v>
      </c>
      <c r="E19" s="14" t="s">
        <v>41</v>
      </c>
      <c r="F19" s="18">
        <f ca="1">+$C$15+$C$16*F18-15018.5-$C$5/24</f>
        <v>45152.922410699</v>
      </c>
    </row>
    <row r="20" spans="1:23" ht="15" thickBot="1" x14ac:dyDescent="0.25">
      <c r="A20" s="4" t="s">
        <v>16</v>
      </c>
      <c r="B20" s="4" t="s">
        <v>17</v>
      </c>
      <c r="C20" s="4" t="s">
        <v>18</v>
      </c>
      <c r="D20" s="4" t="s">
        <v>22</v>
      </c>
      <c r="E20" s="4" t="s">
        <v>19</v>
      </c>
      <c r="F20" s="4" t="s">
        <v>20</v>
      </c>
      <c r="G20" s="4" t="s">
        <v>21</v>
      </c>
      <c r="H20" s="7" t="s">
        <v>10</v>
      </c>
      <c r="I20" s="7" t="s">
        <v>54</v>
      </c>
      <c r="J20" s="7" t="s">
        <v>7</v>
      </c>
      <c r="K20" s="7" t="s">
        <v>9</v>
      </c>
      <c r="L20" s="7" t="s">
        <v>34</v>
      </c>
      <c r="M20" s="7" t="s">
        <v>35</v>
      </c>
      <c r="N20" s="7" t="s">
        <v>36</v>
      </c>
      <c r="O20" s="7" t="s">
        <v>32</v>
      </c>
      <c r="P20" s="41" t="s">
        <v>31</v>
      </c>
      <c r="Q20" s="4" t="s">
        <v>24</v>
      </c>
      <c r="R20" s="7" t="s">
        <v>3</v>
      </c>
      <c r="S20" s="6" t="s">
        <v>4</v>
      </c>
      <c r="T20" s="7" t="s">
        <v>5</v>
      </c>
      <c r="U20" s="42" t="s">
        <v>6</v>
      </c>
    </row>
    <row r="21" spans="1:23" x14ac:dyDescent="0.2">
      <c r="A21" t="str">
        <f>D7</f>
        <v>VSX</v>
      </c>
      <c r="C21" s="54">
        <f>C$7</f>
        <v>54585.647400000002</v>
      </c>
      <c r="D21" s="8" t="s">
        <v>23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9.6513828163702797E-2</v>
      </c>
      <c r="P21" s="43">
        <f>+D$11+D$12*F21+D$13*F21^2</f>
        <v>7.3541297834420205E-15</v>
      </c>
      <c r="Q21" s="44">
        <f t="shared" ref="Q21:Q31" si="1">+C21-15018.5</f>
        <v>39567.147400000002</v>
      </c>
      <c r="R21" s="45">
        <f>+(P21-G21)^2</f>
        <v>5.4083224871708979E-29</v>
      </c>
      <c r="S21" s="47">
        <v>0.1</v>
      </c>
      <c r="T21" s="45">
        <f>+S21*R21</f>
        <v>5.4083224871708984E-30</v>
      </c>
      <c r="U21" s="46"/>
    </row>
    <row r="22" spans="1:23" x14ac:dyDescent="0.2">
      <c r="A22" s="27" t="s">
        <v>51</v>
      </c>
      <c r="B22" s="28" t="s">
        <v>52</v>
      </c>
      <c r="C22" s="55">
        <v>55774.478799999997</v>
      </c>
      <c r="D22" s="29">
        <v>1E-3</v>
      </c>
      <c r="E22">
        <f>+(C22-C$7)/C$8</f>
        <v>3559.5353084719241</v>
      </c>
      <c r="F22">
        <f>ROUND(2*E22,0)/2</f>
        <v>3559.5</v>
      </c>
      <c r="G22">
        <f>+C22-(C$7+F22*C$8)</f>
        <v>1.1792499994044192E-2</v>
      </c>
      <c r="J22">
        <f>+G22</f>
        <v>1.1792499994044192E-2</v>
      </c>
      <c r="O22">
        <f ca="1">+C$11+C$12*$F22</f>
        <v>7.1933736406402674E-2</v>
      </c>
      <c r="Q22" s="2">
        <f t="shared" si="1"/>
        <v>40755.978799999997</v>
      </c>
      <c r="R22" s="45">
        <f>+(P22-G22)^2</f>
        <v>1.3906305610953228E-4</v>
      </c>
      <c r="S22" s="47">
        <v>1</v>
      </c>
      <c r="T22" s="45">
        <f>+S22*R22</f>
        <v>1.3906305610953228E-4</v>
      </c>
    </row>
    <row r="23" spans="1:23" x14ac:dyDescent="0.2">
      <c r="A23" s="30" t="s">
        <v>55</v>
      </c>
      <c r="B23" s="31" t="s">
        <v>52</v>
      </c>
      <c r="C23" s="56">
        <v>56930.425920000001</v>
      </c>
      <c r="D23" s="32">
        <v>2.0000000000000001E-4</v>
      </c>
      <c r="E23">
        <f>+(C23-C$7)/C$8</f>
        <v>7020.6102669281554</v>
      </c>
      <c r="F23">
        <f>ROUND(2*E23,0)/2</f>
        <v>7020.5</v>
      </c>
      <c r="G23">
        <f>+C23-(C$7+F23*C$8)</f>
        <v>3.6827500000072177E-2</v>
      </c>
      <c r="K23">
        <f>+G23</f>
        <v>3.6827500000072177E-2</v>
      </c>
      <c r="O23">
        <f ca="1">+C$11+C$12*$F23</f>
        <v>4.803383541693345E-2</v>
      </c>
      <c r="Q23" s="2">
        <f t="shared" si="1"/>
        <v>41911.925920000001</v>
      </c>
      <c r="R23" s="45">
        <f>+(P23-G23)^2</f>
        <v>1.3562647562553162E-3</v>
      </c>
      <c r="S23" s="47">
        <v>1</v>
      </c>
      <c r="T23" s="45">
        <f>+S23*R23</f>
        <v>1.3562647562553162E-3</v>
      </c>
    </row>
    <row r="24" spans="1:23" x14ac:dyDescent="0.2">
      <c r="A24" s="30" t="s">
        <v>55</v>
      </c>
      <c r="B24" s="31" t="s">
        <v>8</v>
      </c>
      <c r="C24" s="56">
        <v>56943.284630000002</v>
      </c>
      <c r="D24" s="32">
        <v>2.0000000000000001E-4</v>
      </c>
      <c r="E24">
        <f>+(C24-C$7)/C$8</f>
        <v>7059.1111277452592</v>
      </c>
      <c r="F24">
        <f>ROUND(2*E24,0)/2</f>
        <v>7059</v>
      </c>
      <c r="G24">
        <f>+C24-(C$7+F24*C$8)</f>
        <v>3.711499999917578E-2</v>
      </c>
      <c r="K24">
        <f>+G24</f>
        <v>3.711499999917578E-2</v>
      </c>
      <c r="O24">
        <f ca="1">+C$11+C$12*$F24</f>
        <v>4.7767974050826958E-2</v>
      </c>
      <c r="Q24" s="2">
        <f t="shared" si="1"/>
        <v>41924.784630000002</v>
      </c>
      <c r="R24" s="45">
        <f>+(P24-G24)^2</f>
        <v>1.3775232249388181E-3</v>
      </c>
      <c r="S24" s="47">
        <v>1</v>
      </c>
      <c r="T24" s="45">
        <f>+S24*R24</f>
        <v>1.3775232249388181E-3</v>
      </c>
    </row>
    <row r="25" spans="1:23" x14ac:dyDescent="0.2">
      <c r="A25" s="30" t="s">
        <v>55</v>
      </c>
      <c r="B25" s="31" t="s">
        <v>52</v>
      </c>
      <c r="C25" s="56">
        <v>56943.451829999998</v>
      </c>
      <c r="D25" s="32">
        <v>2.9999999999999997E-4</v>
      </c>
      <c r="E25">
        <f>+(C25-C$7)/C$8</f>
        <v>7059.6117490306351</v>
      </c>
      <c r="F25">
        <f>ROUND(2*E25,0)/2</f>
        <v>7059.5</v>
      </c>
      <c r="G25">
        <f>+C25-(C$7+F25*C$8)</f>
        <v>3.7322500000300352E-2</v>
      </c>
      <c r="K25">
        <f>+G25</f>
        <v>3.7322500000300352E-2</v>
      </c>
      <c r="O25">
        <f ca="1">+C$11+C$12*$F25</f>
        <v>4.7764521305812588E-2</v>
      </c>
      <c r="Q25" s="2">
        <f t="shared" si="1"/>
        <v>41924.951829999998</v>
      </c>
      <c r="R25" s="45">
        <f>+(P25-G25)^2</f>
        <v>1.3929690062724198E-3</v>
      </c>
      <c r="S25" s="47">
        <v>1</v>
      </c>
      <c r="T25" s="45">
        <f>+S25*R25</f>
        <v>1.3929690062724198E-3</v>
      </c>
    </row>
    <row r="26" spans="1:23" x14ac:dyDescent="0.2">
      <c r="A26" s="30" t="s">
        <v>55</v>
      </c>
      <c r="B26" s="31" t="s">
        <v>8</v>
      </c>
      <c r="C26" s="56">
        <v>56943.618560000003</v>
      </c>
      <c r="D26" s="32">
        <v>2.9999999999999997E-4</v>
      </c>
      <c r="E26">
        <f t="shared" ref="E26:E31" si="2">+(C26-C$7)/C$8</f>
        <v>7060.1109630672072</v>
      </c>
      <c r="F26">
        <f t="shared" ref="F26:F31" si="3">ROUND(2*E26,0)/2</f>
        <v>7060</v>
      </c>
      <c r="G26">
        <f t="shared" ref="G26:G31" si="4">+C26-(C$7+F26*C$8)</f>
        <v>3.7060000002384186E-2</v>
      </c>
      <c r="K26">
        <f t="shared" ref="K26:K31" si="5">+G26</f>
        <v>3.7060000002384186E-2</v>
      </c>
      <c r="O26">
        <f t="shared" ref="O26:O31" ca="1" si="6">+C$11+C$12*$F26</f>
        <v>4.7761068560798217E-2</v>
      </c>
      <c r="Q26" s="2">
        <f t="shared" si="1"/>
        <v>41925.118560000003</v>
      </c>
      <c r="R26" s="45">
        <f t="shared" ref="R26:R31" si="7">+(P26-G26)^2</f>
        <v>1.3734436001767159E-3</v>
      </c>
      <c r="S26" s="47">
        <v>1</v>
      </c>
      <c r="T26" s="45">
        <f t="shared" ref="T26:T31" si="8">+S26*R26</f>
        <v>1.3734436001767159E-3</v>
      </c>
    </row>
    <row r="27" spans="1:23" x14ac:dyDescent="0.2">
      <c r="A27" s="49" t="s">
        <v>56</v>
      </c>
      <c r="B27" s="50" t="s">
        <v>52</v>
      </c>
      <c r="C27" s="57">
        <v>57966.484989999793</v>
      </c>
      <c r="D27" s="51">
        <v>2.0000000000000001E-4</v>
      </c>
      <c r="E27">
        <f t="shared" si="2"/>
        <v>10122.722846833816</v>
      </c>
      <c r="F27">
        <f t="shared" si="3"/>
        <v>10122.5</v>
      </c>
      <c r="G27">
        <f t="shared" si="4"/>
        <v>7.442749979236396E-2</v>
      </c>
      <c r="K27">
        <f t="shared" si="5"/>
        <v>7.442749979236396E-2</v>
      </c>
      <c r="O27">
        <f t="shared" ca="1" si="6"/>
        <v>2.6613005347781882E-2</v>
      </c>
      <c r="Q27" s="2">
        <f t="shared" si="1"/>
        <v>42947.984989999793</v>
      </c>
      <c r="R27" s="45">
        <f t="shared" si="7"/>
        <v>5.5394527253423377E-3</v>
      </c>
      <c r="S27" s="47">
        <v>1</v>
      </c>
      <c r="T27" s="45">
        <f t="shared" si="8"/>
        <v>5.5394527253423377E-3</v>
      </c>
    </row>
    <row r="28" spans="1:23" x14ac:dyDescent="0.2">
      <c r="A28" s="49" t="s">
        <v>56</v>
      </c>
      <c r="B28" s="50" t="s">
        <v>52</v>
      </c>
      <c r="C28" s="57">
        <v>57974.501259999815</v>
      </c>
      <c r="D28" s="51">
        <v>2.9999999999999997E-4</v>
      </c>
      <c r="E28">
        <f t="shared" si="2"/>
        <v>10146.72473314614</v>
      </c>
      <c r="F28">
        <f t="shared" si="3"/>
        <v>10146.5</v>
      </c>
      <c r="G28">
        <f t="shared" si="4"/>
        <v>7.5057499816466589E-2</v>
      </c>
      <c r="K28">
        <f t="shared" si="5"/>
        <v>7.5057499816466589E-2</v>
      </c>
      <c r="O28">
        <f t="shared" ca="1" si="6"/>
        <v>2.6447273587092132E-2</v>
      </c>
      <c r="Q28" s="2">
        <f t="shared" si="1"/>
        <v>42956.001259999815</v>
      </c>
      <c r="R28" s="45">
        <f t="shared" si="7"/>
        <v>5.6336282786988816E-3</v>
      </c>
      <c r="S28" s="47">
        <v>1</v>
      </c>
      <c r="T28" s="45">
        <f t="shared" si="8"/>
        <v>5.6336282786988816E-3</v>
      </c>
    </row>
    <row r="29" spans="1:23" x14ac:dyDescent="0.2">
      <c r="A29" s="32" t="s">
        <v>0</v>
      </c>
      <c r="B29" s="48" t="s">
        <v>52</v>
      </c>
      <c r="C29" s="58">
        <v>57988.3629</v>
      </c>
      <c r="D29" s="48">
        <v>3.0000000000000001E-3</v>
      </c>
      <c r="E29">
        <f t="shared" si="2"/>
        <v>10188.228513256579</v>
      </c>
      <c r="F29">
        <f t="shared" si="3"/>
        <v>10188</v>
      </c>
      <c r="G29">
        <f t="shared" si="4"/>
        <v>7.63200000001234E-2</v>
      </c>
      <c r="K29">
        <f t="shared" si="5"/>
        <v>7.63200000001234E-2</v>
      </c>
      <c r="O29">
        <f t="shared" ca="1" si="6"/>
        <v>2.616069575089941E-2</v>
      </c>
      <c r="Q29" s="2">
        <f t="shared" si="1"/>
        <v>42969.8629</v>
      </c>
      <c r="R29" s="45">
        <f t="shared" si="7"/>
        <v>5.8247424000188357E-3</v>
      </c>
      <c r="S29" s="47">
        <v>0.1</v>
      </c>
      <c r="T29" s="45">
        <f t="shared" si="8"/>
        <v>5.8247424000188364E-4</v>
      </c>
    </row>
    <row r="30" spans="1:23" x14ac:dyDescent="0.2">
      <c r="A30" s="32" t="s">
        <v>0</v>
      </c>
      <c r="B30" s="48" t="s">
        <v>52</v>
      </c>
      <c r="C30" s="58">
        <v>57988.529399999999</v>
      </c>
      <c r="D30" s="48">
        <v>1.6999999999999999E-3</v>
      </c>
      <c r="E30">
        <f t="shared" si="2"/>
        <v>10188.727038639454</v>
      </c>
      <c r="F30">
        <f t="shared" si="3"/>
        <v>10188.5</v>
      </c>
      <c r="G30">
        <f t="shared" si="4"/>
        <v>7.5827499997103587E-2</v>
      </c>
      <c r="K30">
        <f t="shared" si="5"/>
        <v>7.5827499997103587E-2</v>
      </c>
      <c r="O30">
        <f t="shared" ca="1" si="6"/>
        <v>2.6157243005885053E-2</v>
      </c>
      <c r="Q30" s="2">
        <f t="shared" si="1"/>
        <v>42970.029399999999</v>
      </c>
      <c r="R30" s="45">
        <f t="shared" si="7"/>
        <v>5.7498097558107445E-3</v>
      </c>
      <c r="S30" s="47">
        <v>0.5</v>
      </c>
      <c r="T30" s="45">
        <f t="shared" si="8"/>
        <v>2.8749048779053723E-3</v>
      </c>
    </row>
    <row r="31" spans="1:23" x14ac:dyDescent="0.2">
      <c r="A31" s="49" t="s">
        <v>56</v>
      </c>
      <c r="B31" s="50" t="s">
        <v>52</v>
      </c>
      <c r="C31" s="57">
        <v>58052.323830000125</v>
      </c>
      <c r="D31" s="51">
        <v>4.0000000000000002E-4</v>
      </c>
      <c r="E31">
        <f t="shared" si="2"/>
        <v>10379.736904352361</v>
      </c>
      <c r="F31">
        <f t="shared" si="3"/>
        <v>10379.5</v>
      </c>
      <c r="G31">
        <f t="shared" si="4"/>
        <v>7.9122500123048667E-2</v>
      </c>
      <c r="K31">
        <f t="shared" si="5"/>
        <v>7.9122500123048667E-2</v>
      </c>
      <c r="O31">
        <f t="shared" ca="1" si="6"/>
        <v>2.48382944103957E-2</v>
      </c>
      <c r="Q31" s="2">
        <f t="shared" si="1"/>
        <v>43033.823830000125</v>
      </c>
      <c r="R31" s="45">
        <f t="shared" si="7"/>
        <v>6.2603700257218365E-3</v>
      </c>
      <c r="S31" s="47">
        <v>1</v>
      </c>
      <c r="T31" s="45">
        <f t="shared" si="8"/>
        <v>6.2603700257218365E-3</v>
      </c>
    </row>
    <row r="32" spans="1:23" x14ac:dyDescent="0.2">
      <c r="A32" s="52" t="s">
        <v>57</v>
      </c>
      <c r="B32" s="53" t="s">
        <v>52</v>
      </c>
      <c r="C32" s="59">
        <v>59111.427199999998</v>
      </c>
      <c r="D32" s="52">
        <v>2.3E-3</v>
      </c>
      <c r="E32">
        <f t="shared" ref="E32:E33" si="9">+(C32-C$7)/C$8</f>
        <v>13550.847493150881</v>
      </c>
      <c r="F32">
        <f t="shared" ref="F32:F33" si="10">ROUND(2*E32,0)/2</f>
        <v>13551</v>
      </c>
      <c r="G32">
        <f t="shared" ref="G32:G33" si="11">+C32-(C$7+F32*C$8)</f>
        <v>-5.093499999929918E-2</v>
      </c>
      <c r="K32">
        <f t="shared" ref="K32:K33" si="12">+G32</f>
        <v>-5.093499999929918E-2</v>
      </c>
      <c r="O32">
        <f t="shared" ref="O32:O33" ca="1" si="13">+C$11+C$12*$F32</f>
        <v>2.9375327842467158E-3</v>
      </c>
      <c r="Q32" s="2">
        <f t="shared" ref="Q32:Q33" si="14">+C32-15018.5</f>
        <v>44092.927199999998</v>
      </c>
      <c r="R32" s="45">
        <f t="shared" ref="R32:R33" si="15">+(P32-G32)^2</f>
        <v>2.5943742249286074E-3</v>
      </c>
      <c r="S32" s="47">
        <v>1</v>
      </c>
      <c r="T32" s="45">
        <f t="shared" ref="T32:T33" si="16">+S32*R32</f>
        <v>2.5943742249286074E-3</v>
      </c>
      <c r="V32" s="45" t="s">
        <v>58</v>
      </c>
    </row>
    <row r="33" spans="1:22" x14ac:dyDescent="0.2">
      <c r="A33" s="52" t="s">
        <v>57</v>
      </c>
      <c r="B33" s="53" t="s">
        <v>52</v>
      </c>
      <c r="C33" s="59">
        <v>59111.591899999999</v>
      </c>
      <c r="D33" s="52">
        <v>2.5000000000000001E-3</v>
      </c>
      <c r="E33">
        <f t="shared" si="9"/>
        <v>13551.340629070162</v>
      </c>
      <c r="F33">
        <f t="shared" si="10"/>
        <v>13551.5</v>
      </c>
      <c r="G33">
        <f t="shared" si="11"/>
        <v>-5.3227500000502914E-2</v>
      </c>
      <c r="K33">
        <f t="shared" si="12"/>
        <v>-5.3227500000502914E-2</v>
      </c>
      <c r="O33">
        <f t="shared" ca="1" si="13"/>
        <v>2.9340800392323452E-3</v>
      </c>
      <c r="Q33" s="2">
        <f t="shared" si="14"/>
        <v>44093.091899999999</v>
      </c>
      <c r="R33" s="45">
        <f t="shared" si="15"/>
        <v>2.8331667563035378E-3</v>
      </c>
      <c r="S33" s="47">
        <v>1</v>
      </c>
      <c r="T33" s="45">
        <f t="shared" si="16"/>
        <v>2.8331667563035378E-3</v>
      </c>
      <c r="V33" s="45" t="s">
        <v>58</v>
      </c>
    </row>
    <row r="34" spans="1:22" x14ac:dyDescent="0.2">
      <c r="A34" s="52" t="s">
        <v>59</v>
      </c>
      <c r="B34" s="53" t="s">
        <v>52</v>
      </c>
      <c r="C34" s="60">
        <v>59497.3554</v>
      </c>
      <c r="D34" s="52">
        <v>3.5000000000000001E-3</v>
      </c>
      <c r="E34">
        <f t="shared" ref="E34" si="17">+(C34-C$7)/C$8</f>
        <v>14706.373040705417</v>
      </c>
      <c r="F34">
        <f t="shared" ref="F34" si="18">ROUND(2*E34,0)/2</f>
        <v>14706.5</v>
      </c>
      <c r="G34">
        <f t="shared" ref="G34" si="19">+C34-(C$7+F34*C$8)</f>
        <v>-4.2402500002935994E-2</v>
      </c>
      <c r="K34">
        <f t="shared" ref="K34" si="20">+G34</f>
        <v>-4.2402500002935994E-2</v>
      </c>
      <c r="O34">
        <f t="shared" ref="O34" ca="1" si="21">+C$11+C$12*$F34</f>
        <v>-5.0417609439623867E-3</v>
      </c>
      <c r="Q34" s="2">
        <f t="shared" ref="Q34" si="22">+C34-15018.5</f>
        <v>44478.8554</v>
      </c>
      <c r="R34" s="45">
        <f t="shared" ref="R34" si="23">+(P34-G34)^2</f>
        <v>1.797972006498987E-3</v>
      </c>
      <c r="S34" s="47">
        <v>1</v>
      </c>
      <c r="T34" s="45">
        <f t="shared" ref="T34" si="24">+S34*R34</f>
        <v>1.797972006498987E-3</v>
      </c>
    </row>
    <row r="35" spans="1:22" x14ac:dyDescent="0.2">
      <c r="C35" s="54"/>
      <c r="D35" s="8"/>
    </row>
    <row r="36" spans="1:22" x14ac:dyDescent="0.2">
      <c r="C36" s="54"/>
      <c r="D36" s="8"/>
    </row>
    <row r="37" spans="1:22" x14ac:dyDescent="0.2">
      <c r="C37" s="54"/>
      <c r="D37" s="8"/>
    </row>
    <row r="38" spans="1:22" x14ac:dyDescent="0.2">
      <c r="C38" s="8"/>
      <c r="D38" s="8"/>
    </row>
    <row r="39" spans="1:22" x14ac:dyDescent="0.2">
      <c r="C39" s="8"/>
      <c r="D39" s="8"/>
    </row>
    <row r="40" spans="1:22" x14ac:dyDescent="0.2">
      <c r="C40" s="8"/>
      <c r="D40" s="8"/>
    </row>
    <row r="41" spans="1:22" x14ac:dyDescent="0.2">
      <c r="C41" s="8"/>
      <c r="D41" s="8"/>
    </row>
    <row r="42" spans="1:22" x14ac:dyDescent="0.2">
      <c r="C42" s="8"/>
      <c r="D42" s="8"/>
    </row>
    <row r="43" spans="1:22" x14ac:dyDescent="0.2">
      <c r="C43" s="8"/>
      <c r="D43" s="8"/>
    </row>
    <row r="44" spans="1:22" x14ac:dyDescent="0.2">
      <c r="C44" s="8"/>
      <c r="D44" s="8"/>
    </row>
    <row r="45" spans="1:22" x14ac:dyDescent="0.2">
      <c r="C45" s="8"/>
      <c r="D45" s="8"/>
    </row>
    <row r="46" spans="1:22" x14ac:dyDescent="0.2">
      <c r="C46" s="8"/>
      <c r="D46" s="8"/>
    </row>
    <row r="47" spans="1:22" x14ac:dyDescent="0.2">
      <c r="C47" s="8"/>
      <c r="D47" s="8"/>
    </row>
    <row r="48" spans="1:22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9:D31" name="Range1"/>
  </protectedRanges>
  <phoneticPr fontId="7" type="noConversion"/>
  <hyperlinks>
    <hyperlink ref="H1821" r:id="rId1" display="http://vsolj.cetus-net.org/bulletin.html" xr:uid="{00000000-0004-0000-0000-000000000000}"/>
    <hyperlink ref="H64886" r:id="rId2" display="http://vsolj.cetus-net.org/bulletin.html" xr:uid="{00000000-0004-0000-0000-000001000000}"/>
    <hyperlink ref="H64879" r:id="rId3" display="https://www.aavso.org/ejaavso" xr:uid="{00000000-0004-0000-0000-000002000000}"/>
    <hyperlink ref="AP1030" r:id="rId4" display="http://cdsbib.u-strasbg.fr/cgi-bin/cdsbib?1990RMxAA..21..381G" xr:uid="{00000000-0004-0000-0000-000003000000}"/>
    <hyperlink ref="AP1034" r:id="rId5" display="http://cdsbib.u-strasbg.fr/cgi-bin/cdsbib?1990RMxAA..21..381G" xr:uid="{00000000-0004-0000-0000-000004000000}"/>
    <hyperlink ref="AP1033" r:id="rId6" display="http://cdsbib.u-strasbg.fr/cgi-bin/cdsbib?1990RMxAA..21..381G" xr:uid="{00000000-0004-0000-0000-000005000000}"/>
    <hyperlink ref="AP1014" r:id="rId7" display="http://cdsbib.u-strasbg.fr/cgi-bin/cdsbib?1990RMxAA..21..381G" xr:uid="{00000000-0004-0000-0000-000006000000}"/>
    <hyperlink ref="I64886" r:id="rId8" display="http://vsolj.cetus-net.org/bulletin.html" xr:uid="{00000000-0004-0000-0000-000007000000}"/>
    <hyperlink ref="AQ1170" r:id="rId9" display="http://cdsbib.u-strasbg.fr/cgi-bin/cdsbib?1990RMxAA..21..381G" xr:uid="{00000000-0004-0000-0000-000008000000}"/>
    <hyperlink ref="AQ55936" r:id="rId10" display="http://cdsbib.u-strasbg.fr/cgi-bin/cdsbib?1990RMxAA..21..381G" xr:uid="{00000000-0004-0000-0000-000009000000}"/>
    <hyperlink ref="AQ1171" r:id="rId11" display="http://cdsbib.u-strasbg.fr/cgi-bin/cdsbib?1990RMxAA..21..381G" xr:uid="{00000000-0004-0000-0000-00000A000000}"/>
    <hyperlink ref="H64883" r:id="rId12" display="https://www.aavso.org/ejaavso" xr:uid="{00000000-0004-0000-0000-00000B000000}"/>
    <hyperlink ref="H2056" r:id="rId13" display="http://vsolj.cetus-net.org/bulletin.html" xr:uid="{00000000-0004-0000-0000-00000C000000}"/>
    <hyperlink ref="AP3300" r:id="rId14" display="http://cdsbib.u-strasbg.fr/cgi-bin/cdsbib?1990RMxAA..21..381G" xr:uid="{00000000-0004-0000-0000-00000D000000}"/>
    <hyperlink ref="AP3303" r:id="rId15" display="http://cdsbib.u-strasbg.fr/cgi-bin/cdsbib?1990RMxAA..21..381G" xr:uid="{00000000-0004-0000-0000-00000E000000}"/>
    <hyperlink ref="AP3301" r:id="rId16" display="http://cdsbib.u-strasbg.fr/cgi-bin/cdsbib?1990RMxAA..21..381G" xr:uid="{00000000-0004-0000-0000-00000F000000}"/>
    <hyperlink ref="AP3285" r:id="rId17" display="http://cdsbib.u-strasbg.fr/cgi-bin/cdsbib?1990RMxAA..21..381G" xr:uid="{00000000-0004-0000-0000-000010000000}"/>
    <hyperlink ref="I2056" r:id="rId18" display="http://vsolj.cetus-net.org/bulletin.html" xr:uid="{00000000-0004-0000-0000-000011000000}"/>
    <hyperlink ref="AQ3514" r:id="rId19" display="http://cdsbib.u-strasbg.fr/cgi-bin/cdsbib?1990RMxAA..21..381G" xr:uid="{00000000-0004-0000-0000-000012000000}"/>
    <hyperlink ref="AQ215" r:id="rId20" display="http://cdsbib.u-strasbg.fr/cgi-bin/cdsbib?1990RMxAA..21..381G" xr:uid="{00000000-0004-0000-0000-000013000000}"/>
    <hyperlink ref="AQ3518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2023-08-14T05:13:33Z</dcterms:modified>
</cp:coreProperties>
</file>