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2112342-4811-41A1-BF39-C11879347524}" xr6:coauthVersionLast="47" xr6:coauthVersionMax="47" xr10:uidLastSave="{00000000-0000-0000-0000-000000000000}"/>
  <bookViews>
    <workbookView xWindow="14475" yWindow="420" windowWidth="1347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K41" i="1" s="1"/>
  <c r="Q41" i="1"/>
  <c r="E39" i="1"/>
  <c r="F39" i="1" s="1"/>
  <c r="G39" i="1" s="1"/>
  <c r="K39" i="1" s="1"/>
  <c r="Q39" i="1"/>
  <c r="Q40" i="1"/>
  <c r="Q38" i="1"/>
  <c r="Q35" i="1"/>
  <c r="Q36" i="1"/>
  <c r="Q37" i="1"/>
  <c r="Q32" i="1"/>
  <c r="Q34" i="1"/>
  <c r="Q33" i="1"/>
  <c r="D9" i="1"/>
  <c r="C9" i="1"/>
  <c r="Q28" i="1"/>
  <c r="Q29" i="1"/>
  <c r="G18" i="2"/>
  <c r="C18" i="2"/>
  <c r="G20" i="2"/>
  <c r="C20" i="2"/>
  <c r="G19" i="2"/>
  <c r="C19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8" i="2"/>
  <c r="D18" i="2"/>
  <c r="B18" i="2"/>
  <c r="A18" i="2"/>
  <c r="H20" i="2"/>
  <c r="D20" i="2"/>
  <c r="B20" i="2"/>
  <c r="A20" i="2"/>
  <c r="H19" i="2"/>
  <c r="D19" i="2"/>
  <c r="B19" i="2"/>
  <c r="A1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1" i="1"/>
  <c r="F16" i="1"/>
  <c r="F17" i="1" s="1"/>
  <c r="Q30" i="1"/>
  <c r="C17" i="1"/>
  <c r="Q22" i="1"/>
  <c r="Q23" i="1"/>
  <c r="Q24" i="1"/>
  <c r="Q25" i="1"/>
  <c r="Q26" i="1"/>
  <c r="Q27" i="1"/>
  <c r="C7" i="1"/>
  <c r="E37" i="1"/>
  <c r="F37" i="1"/>
  <c r="G37" i="1" s="1"/>
  <c r="I37" i="1" s="1"/>
  <c r="Q21" i="1"/>
  <c r="E17" i="2"/>
  <c r="E11" i="2"/>
  <c r="E12" i="2"/>
  <c r="E21" i="1"/>
  <c r="F21" i="1"/>
  <c r="G21" i="1" s="1"/>
  <c r="J21" i="1" s="1"/>
  <c r="E33" i="1"/>
  <c r="F33" i="1" s="1"/>
  <c r="G33" i="1" s="1"/>
  <c r="K33" i="1" s="1"/>
  <c r="E29" i="1"/>
  <c r="F29" i="1"/>
  <c r="U29" i="1" s="1"/>
  <c r="E30" i="1"/>
  <c r="F30" i="1"/>
  <c r="G30" i="1" s="1"/>
  <c r="K30" i="1" s="1"/>
  <c r="E35" i="1"/>
  <c r="F35" i="1"/>
  <c r="E25" i="1"/>
  <c r="E15" i="2" s="1"/>
  <c r="E32" i="1"/>
  <c r="F32" i="1"/>
  <c r="G32" i="1" s="1"/>
  <c r="K32" i="1" s="1"/>
  <c r="E23" i="1"/>
  <c r="F23" i="1" s="1"/>
  <c r="G23" i="1" s="1"/>
  <c r="K23" i="1" s="1"/>
  <c r="E28" i="1"/>
  <c r="G31" i="1"/>
  <c r="K31" i="1"/>
  <c r="E27" i="1"/>
  <c r="F27" i="1"/>
  <c r="E36" i="1"/>
  <c r="F36" i="1" s="1"/>
  <c r="G36" i="1" s="1"/>
  <c r="I36" i="1" s="1"/>
  <c r="G38" i="1"/>
  <c r="K38" i="1"/>
  <c r="G27" i="1"/>
  <c r="J27" i="1" s="1"/>
  <c r="E24" i="1"/>
  <c r="E34" i="1"/>
  <c r="F34" i="1" s="1"/>
  <c r="G34" i="1" s="1"/>
  <c r="K34" i="1" s="1"/>
  <c r="E31" i="1"/>
  <c r="F31" i="1"/>
  <c r="E22" i="1"/>
  <c r="F22" i="1"/>
  <c r="G22" i="1" s="1"/>
  <c r="K22" i="1" s="1"/>
  <c r="E38" i="1"/>
  <c r="F38" i="1"/>
  <c r="E40" i="1"/>
  <c r="F40" i="1" s="1"/>
  <c r="G40" i="1" s="1"/>
  <c r="K40" i="1" s="1"/>
  <c r="E26" i="1"/>
  <c r="F26" i="1"/>
  <c r="G26" i="1" s="1"/>
  <c r="J26" i="1" s="1"/>
  <c r="G35" i="1"/>
  <c r="K35" i="1"/>
  <c r="E19" i="2"/>
  <c r="F28" i="1"/>
  <c r="U28" i="1"/>
  <c r="E16" i="2"/>
  <c r="E18" i="2"/>
  <c r="E13" i="2"/>
  <c r="E14" i="2"/>
  <c r="F24" i="1"/>
  <c r="G24" i="1"/>
  <c r="J24" i="1" s="1"/>
  <c r="E20" i="2"/>
  <c r="F25" i="1" l="1"/>
  <c r="G25" i="1" s="1"/>
  <c r="C12" i="1"/>
  <c r="C11" i="1"/>
  <c r="O41" i="1" l="1"/>
  <c r="C16" i="1"/>
  <c r="D18" i="1" s="1"/>
  <c r="O33" i="1"/>
  <c r="O24" i="1"/>
  <c r="O39" i="1"/>
  <c r="O25" i="1"/>
  <c r="C15" i="1"/>
  <c r="C18" i="1" s="1"/>
  <c r="O21" i="1"/>
  <c r="O36" i="1"/>
  <c r="O30" i="1"/>
  <c r="O37" i="1"/>
  <c r="O22" i="1"/>
  <c r="O34" i="1"/>
  <c r="O32" i="1"/>
  <c r="O26" i="1"/>
  <c r="O31" i="1"/>
  <c r="O23" i="1"/>
  <c r="O27" i="1"/>
  <c r="O28" i="1"/>
  <c r="O40" i="1"/>
  <c r="O35" i="1"/>
  <c r="O29" i="1"/>
  <c r="O38" i="1"/>
  <c r="K25" i="1"/>
  <c r="F18" i="1" l="1"/>
  <c r="F19" i="1" s="1"/>
</calcChain>
</file>

<file path=xl/sharedStrings.xml><?xml version="1.0" encoding="utf-8"?>
<sst xmlns="http://schemas.openxmlformats.org/spreadsheetml/2006/main" count="183" uniqueCount="114">
  <si>
    <t>OEJV 0181</t>
  </si>
  <si>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</si>
  <si>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</si>
  <si>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</si>
  <si>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</si>
  <si>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</si>
  <si>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</si>
  <si>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</si>
  <si>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</si>
  <si>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</si>
  <si>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</si>
  <si>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</si>
  <si>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</si>
  <si>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</si>
  <si>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</si>
  <si>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</si>
  <si>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</si>
  <si>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</si>
  <si>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</si>
  <si>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</si>
  <si>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</si>
  <si>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</si>
  <si>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</si>
  <si>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</si>
  <si>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</si>
  <si>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</si>
  <si>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</si>
  <si>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</si>
  <si>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</si>
  <si>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Misc</t>
  </si>
  <si>
    <t>IBVS</t>
  </si>
  <si>
    <t>not avail.</t>
  </si>
  <si>
    <t>IBVS 5341</t>
  </si>
  <si>
    <t>II</t>
  </si>
  <si>
    <t>IBVS 5606</t>
  </si>
  <si>
    <t>IBVS 5603</t>
  </si>
  <si>
    <t># of data points:</t>
  </si>
  <si>
    <t>EE Cet / GSC 0640-0622</t>
  </si>
  <si>
    <t>IBVS 5668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</si>
  <si>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</si>
  <si>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</si>
  <si>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</si>
  <si>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</si>
  <si>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</si>
  <si>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</si>
  <si>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</si>
  <si>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OEJV 0160</t>
  </si>
  <si>
    <t>Add cycle</t>
  </si>
  <si>
    <t>Old Cycle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</si>
  <si>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</si>
  <si>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</si>
  <si>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</si>
  <si>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</si>
  <si>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</si>
  <si>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</si>
  <si>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</si>
  <si>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</si>
  <si>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</si>
  <si>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</si>
  <si>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</si>
  <si>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</si>
  <si>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C </t>
  </si>
  <si>
    <t>Ic</t>
  </si>
  <si>
    <t>E </t>
  </si>
  <si>
    <t>?</t>
  </si>
  <si>
    <t> 0.0005 </t>
  </si>
  <si>
    <t> S.Dvorak </t>
  </si>
  <si>
    <t> K.Nakajima </t>
  </si>
  <si>
    <t>VSB 46 </t>
  </si>
  <si>
    <t>VSB 48 </t>
  </si>
  <si>
    <t> 0.0017 </t>
  </si>
  <si>
    <t>2452548.4392 </t>
  </si>
  <si>
    <t> 30.09.2002 22:32 </t>
  </si>
  <si>
    <t> 0.0033 </t>
  </si>
  <si>
    <t> T.Pribulla et al. </t>
  </si>
  <si>
    <t>IBVS 5341 </t>
  </si>
  <si>
    <t>2452956.4747 </t>
  </si>
  <si>
    <t> 12.11.2003 23:23 </t>
  </si>
  <si>
    <t> 0.0018 </t>
  </si>
  <si>
    <t>IBVS 5668 </t>
  </si>
  <si>
    <t>2453011.3742 </t>
  </si>
  <si>
    <t> 06.01.2004 20:58 </t>
  </si>
  <si>
    <t> 0.0025 </t>
  </si>
  <si>
    <t>2453262.5011 </t>
  </si>
  <si>
    <t> 14.09.2004 00:01 </t>
  </si>
  <si>
    <t> C.H.Porowski </t>
  </si>
  <si>
    <t>IBVS 5606 </t>
  </si>
  <si>
    <t>2453331.6475 </t>
  </si>
  <si>
    <t> 22.11.2004 03:32 </t>
  </si>
  <si>
    <t> 0.0009 </t>
  </si>
  <si>
    <t>IBVS 5603 </t>
  </si>
  <si>
    <t>2453345.3255 </t>
  </si>
  <si>
    <t> 05.12.2004 19:48 </t>
  </si>
  <si>
    <t>2453351.4036 </t>
  </si>
  <si>
    <t> 11.12.2004 21:41 </t>
  </si>
  <si>
    <t> 0.0011 </t>
  </si>
  <si>
    <t>2454142.9678 </t>
  </si>
  <si>
    <t> 11.02.2007 11:13 </t>
  </si>
  <si>
    <t> -0.0037 </t>
  </si>
  <si>
    <t>2454808.0247 </t>
  </si>
  <si>
    <t> 07.12.2008 12:35 </t>
  </si>
  <si>
    <t> -0.0015 </t>
  </si>
  <si>
    <t>2456193.60881 </t>
  </si>
  <si>
    <t> 23.09.2012 02:36 </t>
  </si>
  <si>
    <t> 0.00454 </t>
  </si>
  <si>
    <t> M.Mašek </t>
  </si>
  <si>
    <t>OEJV 0160 </t>
  </si>
  <si>
    <t>BAD?</t>
  </si>
  <si>
    <t>VSB_061</t>
  </si>
  <si>
    <t>OEJV 0179</t>
  </si>
  <si>
    <t>OEJV 0211</t>
  </si>
  <si>
    <t>RHN 2021</t>
  </si>
  <si>
    <t>JBAV, 63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</si>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</sst>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9" formatCode="0.000000"/>
  </numFmts>
  <fonts count="4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  <xf numFmtId="43" fontId="43" fillId="0" borderId="0" applyFon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3" fillId="24" borderId="19" xfId="38" applyFill="1" applyBorder="1" applyAlignment="1" applyProtection="1">
      <alignment horizontal="right" vertical="top" wrapText="1"/>
    </xf>
    <xf numFmtId="0" fontId="24" fillId="0" borderId="8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6" fillId="0" borderId="0" xfId="42" applyAlignment="1">
      <alignment horizontal="left"/>
    </xf>
    <xf numFmtId="0" fontId="18" fillId="0" borderId="0" xfId="43" applyFont="1"/>
    <xf numFmtId="0" fontId="18" fillId="0" borderId="0" xfId="43" applyFont="1" applyAlignment="1">
      <alignment horizontal="center"/>
    </xf>
    <xf numFmtId="0" fontId="18" fillId="0" borderId="0" xfId="43" applyFont="1" applyAlignment="1">
      <alignment horizontal="left"/>
    </xf>
    <xf numFmtId="0" fontId="40" fillId="0" borderId="0" xfId="42" applyFont="1"/>
    <xf numFmtId="0" fontId="40" fillId="0" borderId="0" xfId="42" applyFont="1" applyAlignment="1">
      <alignment horizontal="center"/>
    </xf>
    <xf numFmtId="0" fontId="13" fillId="0" borderId="0" xfId="42" applyFont="1" applyAlignment="1">
      <alignment horizontal="left"/>
    </xf>
    <xf numFmtId="0" fontId="18" fillId="0" borderId="0" xfId="42" applyFont="1" applyAlignment="1">
      <alignment horizontal="left"/>
    </xf>
    <xf numFmtId="0" fontId="18" fillId="0" borderId="0" xfId="42" applyFont="1" applyAlignment="1">
      <alignment horizontal="center"/>
    </xf>
    <xf numFmtId="0" fontId="18" fillId="0" borderId="0" xfId="42" applyFont="1"/>
    <xf numFmtId="0" fontId="5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49" applyFont="1" applyBorder="1"/>
    <xf numFmtId="169" fontId="0" fillId="0" borderId="0" xfId="0" applyNumberFormat="1" applyAlignment="1">
      <alignment horizontal="left"/>
    </xf>
    <xf numFmtId="169" fontId="0" fillId="0" borderId="0" xfId="0" applyNumberFormat="1" applyAlignment="1">
      <alignment horizontal="left" wrapText="1"/>
    </xf>
    <xf numFmtId="169" fontId="5" fillId="0" borderId="0" xfId="0" applyNumberFormat="1" applyFont="1" applyAlignment="1">
      <alignment horizontal="left" wrapText="1"/>
    </xf>
    <xf numFmtId="169" fontId="19" fillId="0" borderId="0" xfId="0" applyNumberFormat="1" applyFont="1" applyAlignment="1">
      <alignment horizontal="left"/>
    </xf>
    <xf numFmtId="169" fontId="21" fillId="0" borderId="0" xfId="0" applyNumberFormat="1" applyFont="1" applyAlignment="1">
      <alignment horizontal="left"/>
    </xf>
    <xf numFmtId="169" fontId="18" fillId="0" borderId="0" xfId="43" applyNumberFormat="1" applyFont="1" applyAlignment="1">
      <alignment horizontal="left"/>
    </xf>
    <xf numFmtId="169" fontId="39" fillId="0" borderId="0" xfId="42" applyNumberFormat="1" applyFont="1" applyAlignment="1">
      <alignment horizontal="left"/>
    </xf>
    <xf numFmtId="169" fontId="18" fillId="0" borderId="0" xfId="42" applyNumberFormat="1" applyFont="1" applyAlignment="1">
      <alignment horizontal="left"/>
    </xf>
    <xf numFmtId="169" fontId="40" fillId="0" borderId="0" xfId="42" applyNumberFormat="1" applyFont="1" applyAlignment="1">
      <alignment horizontal="left"/>
    </xf>
    <xf numFmtId="169" fontId="42" fillId="0" borderId="0" xfId="0" applyNumberFormat="1" applyFont="1" applyAlignment="1">
      <alignment horizontal="left" vertical="center" wrapText="1"/>
    </xf>
    <xf numFmtId="169" fontId="41" fillId="0" borderId="0" xfId="0" applyNumberFormat="1" applyFont="1" applyAlignment="1">
      <alignment horizontal="left" vertical="center"/>
    </xf>
    <xf numFmtId="169" fontId="42" fillId="0" borderId="0" xfId="0" applyNumberFormat="1" applyFont="1" applyAlignment="1" applyProtection="1">
      <alignment horizontal="left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Cet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59565.616000000002</c:v>
                  </c:pt>
                  <c:pt idx="20">
                    <c:v>59816.546200000215</c:v>
                  </c:pt>
                </c:numCache>
              </c:numRef>
            </c:plus>
            <c:min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59565.616000000002</c:v>
                  </c:pt>
                  <c:pt idx="20">
                    <c:v>59816.546200000215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Active!$H$21:$H$968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B-4A54-AA1D-059BEA4CD7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8.9999999999999998E-4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Active!$I$21:$I$968</c:f>
              <c:numCache>
                <c:formatCode>General</c:formatCode>
                <c:ptCount val="948"/>
                <c:pt idx="15">
                  <c:v>3.0416149995289743E-2</c:v>
                </c:pt>
                <c:pt idx="16">
                  <c:v>3.0747049997444265E-2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B-4A54-AA1D-059BEA4CD7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Active!$J$21:$J$968</c:f>
              <c:numCache>
                <c:formatCode>General</c:formatCode>
                <c:ptCount val="948"/>
                <c:pt idx="0">
                  <c:v>0</c:v>
                </c:pt>
                <c:pt idx="3">
                  <c:v>9.443500021006912E-4</c:v>
                </c:pt>
                <c:pt idx="5">
                  <c:v>2.6317499941796996E-3</c:v>
                </c:pt>
                <c:pt idx="6">
                  <c:v>2.0005499973194674E-3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B-4A54-AA1D-059BEA4CD7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Active!$K$21:$K$968</c:f>
              <c:numCache>
                <c:formatCode>General</c:formatCode>
                <c:ptCount val="948"/>
                <c:pt idx="1">
                  <c:v>6.6819999483413994E-4</c:v>
                </c:pt>
                <c:pt idx="2">
                  <c:v>1.6270499982056208E-3</c:v>
                </c:pt>
                <c:pt idx="4">
                  <c:v>1.7769499972928315E-3</c:v>
                </c:pt>
                <c:pt idx="9">
                  <c:v>2.0453849996556528E-2</c:v>
                </c:pt>
                <c:pt idx="10">
                  <c:v>2.3718550000921823E-2</c:v>
                </c:pt>
                <c:pt idx="11">
                  <c:v>2.5287049997132272E-2</c:v>
                </c:pt>
                <c:pt idx="12">
                  <c:v>2.9168649984057993E-2</c:v>
                </c:pt>
                <c:pt idx="13">
                  <c:v>2.9168649984057993E-2</c:v>
                </c:pt>
                <c:pt idx="14">
                  <c:v>2.9168649998609908E-2</c:v>
                </c:pt>
                <c:pt idx="17">
                  <c:v>3.2596699973510113E-2</c:v>
                </c:pt>
                <c:pt idx="18">
                  <c:v>3.2275450001179706E-2</c:v>
                </c:pt>
                <c:pt idx="19">
                  <c:v>4.1470999996818136E-2</c:v>
                </c:pt>
                <c:pt idx="20">
                  <c:v>3.4048650210024789E-2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B-4A54-AA1D-059BEA4CD7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2B-4A54-AA1D-059BEA4CD7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2B-4A54-AA1D-059BEA4CD7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2B-4A54-AA1D-059BEA4CD7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Active!$O$21:$O$968</c:f>
              <c:numCache>
                <c:formatCode>General</c:formatCode>
                <c:ptCount val="948"/>
                <c:pt idx="0">
                  <c:v>-9.1264579526649102E-4</c:v>
                </c:pt>
                <c:pt idx="1">
                  <c:v>1.4375349918971663E-3</c:v>
                </c:pt>
                <c:pt idx="2">
                  <c:v>1.7537371555332447E-3</c:v>
                </c:pt>
                <c:pt idx="3">
                  <c:v>3.2001705822699089E-3</c:v>
                </c:pt>
                <c:pt idx="4">
                  <c:v>3.5984321309326514E-3</c:v>
                </c:pt>
                <c:pt idx="5">
                  <c:v>3.6772091405582489E-3</c:v>
                </c:pt>
                <c:pt idx="6">
                  <c:v>3.7122211448362922E-3</c:v>
                </c:pt>
                <c:pt idx="7">
                  <c:v>8.2714405769177442E-3</c:v>
                </c:pt>
                <c:pt idx="8">
                  <c:v>1.210197266996242E-2</c:v>
                </c:pt>
                <c:pt idx="9">
                  <c:v>2.0082521395088915E-2</c:v>
                </c:pt>
                <c:pt idx="10">
                  <c:v>2.2224818406851692E-2</c:v>
                </c:pt>
                <c:pt idx="11">
                  <c:v>2.4292714909523623E-2</c:v>
                </c:pt>
                <c:pt idx="12">
                  <c:v>2.6507224180109864E-2</c:v>
                </c:pt>
                <c:pt idx="13">
                  <c:v>2.6507224180109864E-2</c:v>
                </c:pt>
                <c:pt idx="14">
                  <c:v>2.6507224180109864E-2</c:v>
                </c:pt>
                <c:pt idx="15">
                  <c:v>2.6671342950163192E-2</c:v>
                </c:pt>
                <c:pt idx="16">
                  <c:v>2.8888040471016809E-2</c:v>
                </c:pt>
                <c:pt idx="17">
                  <c:v>3.0639734810052662E-2</c:v>
                </c:pt>
                <c:pt idx="18">
                  <c:v>3.8927732697745729E-2</c:v>
                </c:pt>
                <c:pt idx="19">
                  <c:v>3.9504336643199758E-2</c:v>
                </c:pt>
                <c:pt idx="20">
                  <c:v>4.0949675944802727E-2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2B-4A54-AA1D-059BEA4CD7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  <c:pt idx="20">
                  <c:v>19131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7">
                  <c:v>1.422099994670134E-3</c:v>
                </c:pt>
                <c:pt idx="8">
                  <c:v>7.1367499986081384E-3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2B-4A54-AA1D-059BEA4C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1600"/>
        <c:axId val="1"/>
      </c:scatterChart>
      <c:valAx>
        <c:axId val="81427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621F29-434C-3F60-5B1D-36BDAAF68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5668" TargetMode="External"/><Relationship Id="rId7" Type="http://schemas.openxmlformats.org/officeDocument/2006/relationships/hyperlink" Target="http://www.konkoly.hu/cgi-bin/IBVS?5606" TargetMode="External"/><Relationship Id="rId2" Type="http://schemas.openxmlformats.org/officeDocument/2006/relationships/hyperlink" Target="http://www.konkoly.hu/cgi-bin/IBVS?5668" TargetMode="External"/><Relationship Id="rId1" Type="http://schemas.openxmlformats.org/officeDocument/2006/relationships/hyperlink" Target="http://www.konkoly.hu/cgi-bin/IBVS?5341" TargetMode="External"/><Relationship Id="rId6" Type="http://schemas.openxmlformats.org/officeDocument/2006/relationships/hyperlink" Target="http://www.konkoly.hu/cgi-bin/IBVS?5606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:F10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s="7" t="s">
        <v>27</v>
      </c>
    </row>
    <row r="3" spans="1:6" ht="13.5" thickBot="1"/>
    <row r="4" spans="1:6" ht="13.5" thickBot="1">
      <c r="A4" s="4" t="s">
        <v>2</v>
      </c>
      <c r="C4" s="8" t="s">
        <v>31</v>
      </c>
      <c r="D4" s="9" t="s">
        <v>31</v>
      </c>
    </row>
    <row r="5" spans="1:6">
      <c r="A5" s="18" t="s">
        <v>39</v>
      </c>
      <c r="B5" s="19"/>
      <c r="C5" s="20">
        <v>-9.5</v>
      </c>
      <c r="D5" s="19" t="s">
        <v>40</v>
      </c>
    </row>
    <row r="6" spans="1:6">
      <c r="A6" s="4" t="s">
        <v>3</v>
      </c>
      <c r="C6">
        <v>52548.439200000001</v>
      </c>
    </row>
    <row r="7" spans="1:6">
      <c r="A7" t="s">
        <v>4</v>
      </c>
      <c r="C7">
        <f>+C6-C8/2</f>
        <v>52548.249239650002</v>
      </c>
      <c r="D7" s="12" t="s">
        <v>30</v>
      </c>
    </row>
    <row r="8" spans="1:6">
      <c r="A8" t="s">
        <v>5</v>
      </c>
      <c r="C8">
        <v>0.3799207</v>
      </c>
      <c r="D8" s="13">
        <v>5341</v>
      </c>
    </row>
    <row r="9" spans="1:6">
      <c r="A9" s="33" t="s">
        <v>45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9"/>
      <c r="B10" s="19"/>
      <c r="C10" s="3" t="s">
        <v>20</v>
      </c>
      <c r="D10" s="3" t="s">
        <v>21</v>
      </c>
      <c r="E10" s="19"/>
    </row>
    <row r="11" spans="1:6">
      <c r="A11" s="19" t="s">
        <v>16</v>
      </c>
      <c r="B11" s="19"/>
      <c r="C11" s="21">
        <f ca="1">INTERCEPT(INDIRECT($D$9):G992,INDIRECT($C$9):F992)</f>
        <v>-9.137399204001799E-4</v>
      </c>
      <c r="D11" s="14"/>
      <c r="E11" s="19"/>
    </row>
    <row r="12" spans="1:6">
      <c r="A12" s="19" t="s">
        <v>17</v>
      </c>
      <c r="B12" s="19"/>
      <c r="C12" s="21">
        <f ca="1">SLOPE(INDIRECT($D$9):G992,INDIRECT($C$9):F992)</f>
        <v>2.1882502673777068E-6</v>
      </c>
      <c r="D12" s="14"/>
      <c r="E12" s="19"/>
    </row>
    <row r="13" spans="1:6">
      <c r="A13" s="19" t="s">
        <v>19</v>
      </c>
      <c r="B13" s="19"/>
      <c r="C13" s="14" t="s">
        <v>41</v>
      </c>
    </row>
    <row r="14" spans="1:6">
      <c r="A14" s="19"/>
      <c r="B14" s="19"/>
      <c r="C14" s="19"/>
    </row>
    <row r="15" spans="1:6">
      <c r="A15" s="24" t="s">
        <v>18</v>
      </c>
      <c r="B15" s="19"/>
      <c r="C15" s="25">
        <f ca="1">(C7+C11)+(C8+C12)*INT(MAX(F21:F3533))</f>
        <v>59816.553101025951</v>
      </c>
      <c r="E15" s="26" t="s">
        <v>47</v>
      </c>
      <c r="F15" s="20">
        <v>1</v>
      </c>
    </row>
    <row r="16" spans="1:6">
      <c r="A16" s="28" t="s">
        <v>6</v>
      </c>
      <c r="B16" s="19"/>
      <c r="C16" s="29">
        <f ca="1">+C8+C12</f>
        <v>0.37992288825026738</v>
      </c>
      <c r="E16" s="26" t="s">
        <v>42</v>
      </c>
      <c r="F16" s="27">
        <f ca="1">NOW()+15018.5+$C$5/24</f>
        <v>60170.72181643518</v>
      </c>
    </row>
    <row r="17" spans="1:21" ht="13.5" thickBot="1">
      <c r="A17" s="26" t="s">
        <v>36</v>
      </c>
      <c r="B17" s="19"/>
      <c r="C17" s="19">
        <f>COUNT(C21:C2191)</f>
        <v>21</v>
      </c>
      <c r="E17" s="26" t="s">
        <v>48</v>
      </c>
      <c r="F17" s="27">
        <f ca="1">ROUND(2*(F16-$C$7)/$C$8,0)/2+F15</f>
        <v>20064.5</v>
      </c>
    </row>
    <row r="18" spans="1:21" ht="14.25" thickTop="1" thickBot="1">
      <c r="A18" s="28" t="s">
        <v>7</v>
      </c>
      <c r="B18" s="19"/>
      <c r="C18" s="31">
        <f ca="1">+C15</f>
        <v>59816.553101025951</v>
      </c>
      <c r="D18" s="32">
        <f ca="1">+C16</f>
        <v>0.37992288825026738</v>
      </c>
      <c r="E18" s="26" t="s">
        <v>43</v>
      </c>
      <c r="F18" s="23">
        <f ca="1">ROUND(2*(F16-$C$15)/$C$16,0)/2+F15</f>
        <v>933</v>
      </c>
    </row>
    <row r="19" spans="1:21" ht="13.5" thickTop="1">
      <c r="E19" s="26" t="s">
        <v>44</v>
      </c>
      <c r="F19" s="30">
        <f ca="1">+$C$15+$C$16*F18-15018.5-$C$5/24</f>
        <v>45152.91698909679</v>
      </c>
    </row>
    <row r="20" spans="1:21" ht="13.5" thickBot="1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57</v>
      </c>
      <c r="I20" s="6" t="s">
        <v>60</v>
      </c>
      <c r="J20" s="6" t="s">
        <v>54</v>
      </c>
      <c r="K20" s="6" t="s">
        <v>52</v>
      </c>
      <c r="L20" s="6" t="s">
        <v>25</v>
      </c>
      <c r="M20" s="6" t="s">
        <v>26</v>
      </c>
      <c r="N20" s="6" t="s">
        <v>29</v>
      </c>
      <c r="O20" s="6" t="s">
        <v>23</v>
      </c>
      <c r="P20" s="5" t="s">
        <v>22</v>
      </c>
      <c r="Q20" s="3" t="s">
        <v>15</v>
      </c>
      <c r="U20" s="54" t="s">
        <v>107</v>
      </c>
    </row>
    <row r="21" spans="1:21">
      <c r="A21" s="10" t="s">
        <v>32</v>
      </c>
      <c r="B21" s="11" t="s">
        <v>33</v>
      </c>
      <c r="C21" s="74">
        <v>52548.439200000001</v>
      </c>
      <c r="D21" s="10">
        <v>2.9999999999999997E-4</v>
      </c>
      <c r="E21">
        <f t="shared" ref="E21:E40" si="0">+(C21-C$7)/C$8</f>
        <v>0.49999999999665168</v>
      </c>
      <c r="F21">
        <f t="shared" ref="F21:F40" si="1">ROUND(2*E21,0)/2</f>
        <v>0.5</v>
      </c>
      <c r="G21">
        <f t="shared" ref="G21:G27" si="2">+C21-(C$7+F21*C$8)</f>
        <v>0</v>
      </c>
      <c r="J21">
        <f>+G21</f>
        <v>0</v>
      </c>
      <c r="O21">
        <f t="shared" ref="O21:O40" ca="1" si="3">+C$11+C$12*$F21</f>
        <v>-9.1264579526649102E-4</v>
      </c>
      <c r="Q21" s="2">
        <f t="shared" ref="Q21:Q40" si="4">+C21-15018.5</f>
        <v>37529.939200000001</v>
      </c>
    </row>
    <row r="22" spans="1:21">
      <c r="A22" s="15" t="s">
        <v>38</v>
      </c>
      <c r="B22" s="16" t="s">
        <v>28</v>
      </c>
      <c r="C22" s="75">
        <v>52956.474699999999</v>
      </c>
      <c r="D22" s="17">
        <v>2.0000000000000001E-4</v>
      </c>
      <c r="E22">
        <f t="shared" si="0"/>
        <v>1074.5017587880757</v>
      </c>
      <c r="F22">
        <f t="shared" si="1"/>
        <v>1074.5</v>
      </c>
      <c r="G22">
        <f t="shared" si="2"/>
        <v>6.6819999483413994E-4</v>
      </c>
      <c r="K22">
        <f>+G22</f>
        <v>6.6819999483413994E-4</v>
      </c>
      <c r="O22">
        <f t="shared" ca="1" si="3"/>
        <v>1.4375349918971663E-3</v>
      </c>
      <c r="Q22" s="2">
        <f t="shared" si="4"/>
        <v>37937.974699999999</v>
      </c>
    </row>
    <row r="23" spans="1:21">
      <c r="A23" s="15" t="s">
        <v>38</v>
      </c>
      <c r="B23" s="16" t="s">
        <v>33</v>
      </c>
      <c r="C23" s="75">
        <v>53011.374199999998</v>
      </c>
      <c r="D23" s="17">
        <v>2.0000000000000001E-4</v>
      </c>
      <c r="E23">
        <f t="shared" si="0"/>
        <v>1219.0042826042288</v>
      </c>
      <c r="F23">
        <f t="shared" si="1"/>
        <v>1219</v>
      </c>
      <c r="G23">
        <f t="shared" si="2"/>
        <v>1.6270499982056208E-3</v>
      </c>
      <c r="K23">
        <f>+G23</f>
        <v>1.6270499982056208E-3</v>
      </c>
      <c r="O23">
        <f t="shared" ca="1" si="3"/>
        <v>1.7537371555332447E-3</v>
      </c>
      <c r="Q23" s="2">
        <f t="shared" si="4"/>
        <v>37992.874199999998</v>
      </c>
    </row>
    <row r="24" spans="1:21">
      <c r="A24" t="s">
        <v>34</v>
      </c>
      <c r="B24" s="14" t="s">
        <v>28</v>
      </c>
      <c r="C24" s="74">
        <v>53262.501100000001</v>
      </c>
      <c r="D24" s="35">
        <v>2.9999999999999997E-4</v>
      </c>
      <c r="E24">
        <f t="shared" si="0"/>
        <v>1880.0024856502932</v>
      </c>
      <c r="F24">
        <f t="shared" si="1"/>
        <v>1880</v>
      </c>
      <c r="G24">
        <f t="shared" si="2"/>
        <v>9.443500021006912E-4</v>
      </c>
      <c r="J24">
        <f>+G24</f>
        <v>9.443500021006912E-4</v>
      </c>
      <c r="O24">
        <f t="shared" ca="1" si="3"/>
        <v>3.2001705822699089E-3</v>
      </c>
      <c r="Q24" s="2">
        <f t="shared" si="4"/>
        <v>38244.001100000001</v>
      </c>
    </row>
    <row r="25" spans="1:21">
      <c r="A25" t="s">
        <v>35</v>
      </c>
      <c r="B25" s="14" t="s">
        <v>28</v>
      </c>
      <c r="C25" s="74">
        <v>53331.647499999999</v>
      </c>
      <c r="D25" s="35">
        <v>2.9999999999999997E-4</v>
      </c>
      <c r="E25">
        <f t="shared" si="0"/>
        <v>2062.0046771602524</v>
      </c>
      <c r="F25">
        <f t="shared" si="1"/>
        <v>2062</v>
      </c>
      <c r="G25">
        <f t="shared" si="2"/>
        <v>1.7769499972928315E-3</v>
      </c>
      <c r="K25">
        <f>+G25</f>
        <v>1.7769499972928315E-3</v>
      </c>
      <c r="O25">
        <f t="shared" ca="1" si="3"/>
        <v>3.5984321309326514E-3</v>
      </c>
      <c r="Q25" s="2">
        <f t="shared" si="4"/>
        <v>38313.147499999999</v>
      </c>
    </row>
    <row r="26" spans="1:21">
      <c r="A26" t="s">
        <v>34</v>
      </c>
      <c r="B26" s="14" t="s">
        <v>28</v>
      </c>
      <c r="C26" s="74">
        <v>53345.325499999999</v>
      </c>
      <c r="D26" s="35">
        <v>4.0000000000000002E-4</v>
      </c>
      <c r="E26">
        <f t="shared" si="0"/>
        <v>2098.006927103464</v>
      </c>
      <c r="F26">
        <f t="shared" si="1"/>
        <v>2098</v>
      </c>
      <c r="G26">
        <f t="shared" si="2"/>
        <v>2.6317499941796996E-3</v>
      </c>
      <c r="J26">
        <f>+G26</f>
        <v>2.6317499941796996E-3</v>
      </c>
      <c r="O26">
        <f t="shared" ca="1" si="3"/>
        <v>3.6772091405582489E-3</v>
      </c>
      <c r="Q26" s="2">
        <f t="shared" si="4"/>
        <v>38326.825499999999</v>
      </c>
    </row>
    <row r="27" spans="1:21">
      <c r="A27" t="s">
        <v>34</v>
      </c>
      <c r="B27" s="14" t="s">
        <v>28</v>
      </c>
      <c r="C27" s="74">
        <v>53351.403599999998</v>
      </c>
      <c r="D27" s="35">
        <v>2.0000000000000001E-4</v>
      </c>
      <c r="E27">
        <f t="shared" si="0"/>
        <v>2114.0052657041215</v>
      </c>
      <c r="F27">
        <f t="shared" si="1"/>
        <v>2114</v>
      </c>
      <c r="G27">
        <f t="shared" si="2"/>
        <v>2.0005499973194674E-3</v>
      </c>
      <c r="J27">
        <f>+G27</f>
        <v>2.0005499973194674E-3</v>
      </c>
      <c r="O27">
        <f t="shared" ca="1" si="3"/>
        <v>3.7122211448362922E-3</v>
      </c>
      <c r="Q27" s="2">
        <f t="shared" si="4"/>
        <v>38332.903599999998</v>
      </c>
    </row>
    <row r="28" spans="1:21">
      <c r="A28" s="55" t="s">
        <v>68</v>
      </c>
      <c r="B28" s="56" t="s">
        <v>33</v>
      </c>
      <c r="C28" s="76">
        <v>54142.967799999999</v>
      </c>
      <c r="D28" s="55" t="s">
        <v>60</v>
      </c>
      <c r="E28">
        <f t="shared" si="0"/>
        <v>4197.5037431495484</v>
      </c>
      <c r="F28">
        <f t="shared" si="1"/>
        <v>4197.5</v>
      </c>
      <c r="O28">
        <f t="shared" ca="1" si="3"/>
        <v>8.2714405769177442E-3</v>
      </c>
      <c r="Q28" s="2">
        <f t="shared" si="4"/>
        <v>39124.467799999999</v>
      </c>
      <c r="U28">
        <f>+C28-(C$7+F28*C$8)</f>
        <v>1.422099994670134E-3</v>
      </c>
    </row>
    <row r="29" spans="1:21">
      <c r="A29" s="55" t="s">
        <v>69</v>
      </c>
      <c r="B29" s="56" t="s">
        <v>28</v>
      </c>
      <c r="C29" s="76">
        <v>54808.024700000002</v>
      </c>
      <c r="D29" s="55" t="s">
        <v>60</v>
      </c>
      <c r="E29">
        <f t="shared" si="0"/>
        <v>5948.0187848411515</v>
      </c>
      <c r="F29">
        <f t="shared" si="1"/>
        <v>5948</v>
      </c>
      <c r="O29">
        <f t="shared" ca="1" si="3"/>
        <v>1.210197266996242E-2</v>
      </c>
      <c r="Q29" s="2">
        <f t="shared" si="4"/>
        <v>39789.524700000002</v>
      </c>
      <c r="U29">
        <f>+C29-(C$7+F29*C$8)</f>
        <v>7.1367499986081384E-3</v>
      </c>
    </row>
    <row r="30" spans="1:21">
      <c r="A30" s="36" t="s">
        <v>46</v>
      </c>
      <c r="B30" s="37" t="s">
        <v>28</v>
      </c>
      <c r="C30" s="77">
        <v>56193.608809999998</v>
      </c>
      <c r="D30" s="38">
        <v>8.9999999999999998E-4</v>
      </c>
      <c r="E30">
        <f t="shared" si="0"/>
        <v>9595.0538371560069</v>
      </c>
      <c r="F30">
        <f t="shared" si="1"/>
        <v>9595</v>
      </c>
      <c r="G30">
        <f t="shared" ref="G30:G40" si="5">+C30-(C$7+F30*C$8)</f>
        <v>2.0453849996556528E-2</v>
      </c>
      <c r="K30">
        <f t="shared" ref="K30:K35" si="6">+G30</f>
        <v>2.0453849996556528E-2</v>
      </c>
      <c r="O30">
        <f t="shared" ca="1" si="3"/>
        <v>2.0082521395088915E-2</v>
      </c>
      <c r="Q30" s="2">
        <f t="shared" si="4"/>
        <v>41175.108809999998</v>
      </c>
    </row>
    <row r="31" spans="1:21">
      <c r="A31" s="39" t="s">
        <v>49</v>
      </c>
      <c r="B31" s="40" t="s">
        <v>28</v>
      </c>
      <c r="C31" s="78">
        <v>56565.55444</v>
      </c>
      <c r="D31" s="39">
        <v>4.0000000000000002E-4</v>
      </c>
      <c r="E31">
        <f t="shared" si="0"/>
        <v>10574.062430265047</v>
      </c>
      <c r="F31">
        <f t="shared" si="1"/>
        <v>10574</v>
      </c>
      <c r="G31">
        <f t="shared" si="5"/>
        <v>2.3718550000921823E-2</v>
      </c>
      <c r="K31">
        <f t="shared" si="6"/>
        <v>2.3718550000921823E-2</v>
      </c>
      <c r="O31">
        <f t="shared" ca="1" si="3"/>
        <v>2.2224818406851692E-2</v>
      </c>
      <c r="Q31" s="2">
        <f t="shared" si="4"/>
        <v>41547.05444</v>
      </c>
    </row>
    <row r="32" spans="1:21">
      <c r="A32" s="61" t="s">
        <v>109</v>
      </c>
      <c r="B32" s="62" t="s">
        <v>28</v>
      </c>
      <c r="C32" s="79">
        <v>56924.58107</v>
      </c>
      <c r="D32" s="63">
        <v>2.9999999999999997E-4</v>
      </c>
      <c r="E32">
        <f t="shared" si="0"/>
        <v>11519.066558758179</v>
      </c>
      <c r="F32">
        <f t="shared" si="1"/>
        <v>11519</v>
      </c>
      <c r="G32">
        <f t="shared" si="5"/>
        <v>2.5287049997132272E-2</v>
      </c>
      <c r="K32">
        <f t="shared" si="6"/>
        <v>2.5287049997132272E-2</v>
      </c>
      <c r="O32">
        <f t="shared" ca="1" si="3"/>
        <v>2.4292714909523623E-2</v>
      </c>
      <c r="Q32" s="2">
        <f t="shared" si="4"/>
        <v>41906.08107</v>
      </c>
    </row>
    <row r="33" spans="1:17">
      <c r="A33" s="57" t="s">
        <v>108</v>
      </c>
      <c r="B33" s="58" t="s">
        <v>28</v>
      </c>
      <c r="C33" s="80">
        <v>57309.064699999988</v>
      </c>
      <c r="D33" s="60"/>
      <c r="E33">
        <f t="shared" si="0"/>
        <v>12531.076775627087</v>
      </c>
      <c r="F33">
        <f t="shared" si="1"/>
        <v>12531</v>
      </c>
      <c r="G33">
        <f t="shared" si="5"/>
        <v>2.9168649984057993E-2</v>
      </c>
      <c r="K33">
        <f t="shared" si="6"/>
        <v>2.9168649984057993E-2</v>
      </c>
      <c r="O33">
        <f t="shared" ca="1" si="3"/>
        <v>2.6507224180109864E-2</v>
      </c>
      <c r="Q33" s="2">
        <f t="shared" si="4"/>
        <v>42290.564699999988</v>
      </c>
    </row>
    <row r="34" spans="1:17">
      <c r="A34" s="57" t="s">
        <v>108</v>
      </c>
      <c r="B34" s="58" t="s">
        <v>28</v>
      </c>
      <c r="C34" s="80">
        <v>57309.064699999988</v>
      </c>
      <c r="D34" s="59" t="s">
        <v>59</v>
      </c>
      <c r="E34">
        <f t="shared" si="0"/>
        <v>12531.076775627087</v>
      </c>
      <c r="F34">
        <f t="shared" si="1"/>
        <v>12531</v>
      </c>
      <c r="G34">
        <f t="shared" si="5"/>
        <v>2.9168649984057993E-2</v>
      </c>
      <c r="K34">
        <f t="shared" si="6"/>
        <v>2.9168649984057993E-2</v>
      </c>
      <c r="O34">
        <f t="shared" ca="1" si="3"/>
        <v>2.6507224180109864E-2</v>
      </c>
      <c r="Q34" s="2">
        <f t="shared" si="4"/>
        <v>42290.564699999988</v>
      </c>
    </row>
    <row r="35" spans="1:17">
      <c r="A35" s="67" t="s">
        <v>1</v>
      </c>
      <c r="B35" s="68" t="s">
        <v>28</v>
      </c>
      <c r="C35" s="81">
        <v>57309.064700000003</v>
      </c>
      <c r="D35" s="67" t="s">
        <v>59</v>
      </c>
      <c r="E35">
        <f t="shared" si="0"/>
        <v>12531.076775627125</v>
      </c>
      <c r="F35">
        <f t="shared" si="1"/>
        <v>12531</v>
      </c>
      <c r="G35">
        <f t="shared" si="5"/>
        <v>2.9168649998609908E-2</v>
      </c>
      <c r="K35">
        <f t="shared" si="6"/>
        <v>2.9168649998609908E-2</v>
      </c>
      <c r="O35">
        <f t="shared" ca="1" si="3"/>
        <v>2.6507224180109864E-2</v>
      </c>
      <c r="Q35" s="2">
        <f t="shared" si="4"/>
        <v>42290.564700000003</v>
      </c>
    </row>
    <row r="36" spans="1:17">
      <c r="A36" s="64" t="s">
        <v>0</v>
      </c>
      <c r="B36" s="65" t="s">
        <v>28</v>
      </c>
      <c r="C36" s="82">
        <v>57337.56</v>
      </c>
      <c r="D36" s="66">
        <v>0.01</v>
      </c>
      <c r="E36">
        <f t="shared" si="0"/>
        <v>12606.080059207081</v>
      </c>
      <c r="F36">
        <f t="shared" si="1"/>
        <v>12606</v>
      </c>
      <c r="G36">
        <f t="shared" si="5"/>
        <v>3.0416149995289743E-2</v>
      </c>
      <c r="I36">
        <f>+G36</f>
        <v>3.0416149995289743E-2</v>
      </c>
      <c r="O36">
        <f t="shared" ca="1" si="3"/>
        <v>2.6671342950163192E-2</v>
      </c>
      <c r="Q36" s="2">
        <f t="shared" si="4"/>
        <v>42319.06</v>
      </c>
    </row>
    <row r="37" spans="1:17">
      <c r="A37" s="64" t="s">
        <v>0</v>
      </c>
      <c r="B37" s="65" t="s">
        <v>28</v>
      </c>
      <c r="C37" s="82">
        <v>57722.42</v>
      </c>
      <c r="D37" s="66">
        <v>5.0000000000000001E-3</v>
      </c>
      <c r="E37">
        <f t="shared" si="0"/>
        <v>13619.080930178314</v>
      </c>
      <c r="F37">
        <f t="shared" si="1"/>
        <v>13619</v>
      </c>
      <c r="G37">
        <f t="shared" si="5"/>
        <v>3.0747049997444265E-2</v>
      </c>
      <c r="I37">
        <f>+G37</f>
        <v>3.0747049997444265E-2</v>
      </c>
      <c r="O37">
        <f t="shared" ca="1" si="3"/>
        <v>2.8888040471016809E-2</v>
      </c>
      <c r="Q37" s="2">
        <f t="shared" si="4"/>
        <v>42703.92</v>
      </c>
    </row>
    <row r="38" spans="1:17">
      <c r="A38" s="69" t="s">
        <v>110</v>
      </c>
      <c r="B38" s="68" t="s">
        <v>33</v>
      </c>
      <c r="C38" s="81">
        <v>58026.548369999975</v>
      </c>
      <c r="D38" s="67">
        <v>1E-4</v>
      </c>
      <c r="E38">
        <f t="shared" si="0"/>
        <v>14419.585798694236</v>
      </c>
      <c r="F38">
        <f t="shared" si="1"/>
        <v>14419.5</v>
      </c>
      <c r="G38">
        <f t="shared" si="5"/>
        <v>3.2596699973510113E-2</v>
      </c>
      <c r="K38">
        <f>+G38</f>
        <v>3.2596699973510113E-2</v>
      </c>
      <c r="O38">
        <f t="shared" ca="1" si="3"/>
        <v>3.0639734810052662E-2</v>
      </c>
      <c r="Q38" s="2">
        <f t="shared" si="4"/>
        <v>43008.048369999975</v>
      </c>
    </row>
    <row r="39" spans="1:17">
      <c r="A39" s="71" t="s">
        <v>112</v>
      </c>
      <c r="B39" s="72" t="s">
        <v>33</v>
      </c>
      <c r="C39" s="83">
        <v>59465.4977</v>
      </c>
      <c r="D39" s="71">
        <v>8.9999999999999998E-4</v>
      </c>
      <c r="E39">
        <f t="shared" si="0"/>
        <v>18207.084953123107</v>
      </c>
      <c r="F39">
        <f t="shared" si="1"/>
        <v>18207</v>
      </c>
      <c r="G39">
        <f t="shared" si="5"/>
        <v>3.2275450001179706E-2</v>
      </c>
      <c r="K39">
        <f>+G39</f>
        <v>3.2275450001179706E-2</v>
      </c>
      <c r="O39">
        <f t="shared" ca="1" si="3"/>
        <v>3.8927732697745729E-2</v>
      </c>
      <c r="Q39" s="2">
        <f t="shared" si="4"/>
        <v>44446.9977</v>
      </c>
    </row>
    <row r="40" spans="1:17">
      <c r="A40" s="4" t="s">
        <v>111</v>
      </c>
      <c r="C40" s="84">
        <v>59565.616000000002</v>
      </c>
      <c r="D40" s="70">
        <v>2.9999999999999997E-4</v>
      </c>
      <c r="E40">
        <f t="shared" si="0"/>
        <v>18470.609156989867</v>
      </c>
      <c r="F40">
        <f t="shared" si="1"/>
        <v>18470.5</v>
      </c>
      <c r="G40">
        <f t="shared" si="5"/>
        <v>4.1470999996818136E-2</v>
      </c>
      <c r="K40">
        <f>+G40</f>
        <v>4.1470999996818136E-2</v>
      </c>
      <c r="O40">
        <f t="shared" ca="1" si="3"/>
        <v>3.9504336643199758E-2</v>
      </c>
      <c r="Q40" s="2">
        <f t="shared" si="4"/>
        <v>44547.116000000002</v>
      </c>
    </row>
    <row r="41" spans="1:17">
      <c r="A41" s="73" t="s">
        <v>113</v>
      </c>
      <c r="B41" s="73" t="s">
        <v>28</v>
      </c>
      <c r="C41" s="85">
        <v>59816.546200000215</v>
      </c>
      <c r="D41" s="71">
        <v>8.9999999999999998E-4</v>
      </c>
      <c r="E41">
        <f t="shared" ref="E41" si="7">+(C41-C$7)/C$8</f>
        <v>19131.089620413451</v>
      </c>
      <c r="F41">
        <f t="shared" ref="F41" si="8">ROUND(2*E41,0)/2</f>
        <v>19131</v>
      </c>
      <c r="G41">
        <f t="shared" ref="G41" si="9">+C41-(C$7+F41*C$8)</f>
        <v>3.4048650210024789E-2</v>
      </c>
      <c r="K41">
        <f>+G41</f>
        <v>3.4048650210024789E-2</v>
      </c>
      <c r="O41">
        <f t="shared" ref="O41" ca="1" si="10">+C$11+C$12*$F41</f>
        <v>4.0949675944802727E-2</v>
      </c>
      <c r="Q41" s="2">
        <f t="shared" ref="Q41" si="11">+C41-15018.5</f>
        <v>44798.046200000215</v>
      </c>
    </row>
    <row r="42" spans="1:17">
      <c r="C42" s="74"/>
    </row>
    <row r="43" spans="1:17">
      <c r="C43" s="74"/>
    </row>
    <row r="44" spans="1:17">
      <c r="C44" s="74"/>
    </row>
    <row r="45" spans="1:17">
      <c r="C45" s="74"/>
    </row>
    <row r="46" spans="1:17">
      <c r="C46" s="74"/>
    </row>
    <row r="47" spans="1:17">
      <c r="C47" s="74"/>
    </row>
    <row r="48" spans="1:17">
      <c r="C48" s="74"/>
    </row>
    <row r="49" spans="3:3">
      <c r="C49" s="74"/>
    </row>
    <row r="50" spans="3:3">
      <c r="C50" s="74"/>
    </row>
  </sheetData>
  <protectedRanges>
    <protectedRange sqref="A38:D38" name="Range1"/>
  </protectedRanges>
  <sortState xmlns:xlrd2="http://schemas.microsoft.com/office/spreadsheetml/2017/richdata2" ref="A21:W40">
    <sortCondition ref="C21:C40"/>
  </sortState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19" sqref="A19:D20"/>
    </sheetView>
  </sheetViews>
  <sheetFormatPr defaultRowHeight="12.75"/>
  <cols>
    <col min="1" max="1" width="19.7109375" style="35" customWidth="1"/>
    <col min="2" max="2" width="4.42578125" style="19" customWidth="1"/>
    <col min="3" max="3" width="12.7109375" style="35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35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41" t="s">
        <v>50</v>
      </c>
      <c r="I1" s="42" t="s">
        <v>51</v>
      </c>
      <c r="J1" s="43" t="s">
        <v>52</v>
      </c>
    </row>
    <row r="2" spans="1:16">
      <c r="I2" s="44" t="s">
        <v>53</v>
      </c>
      <c r="J2" s="45" t="s">
        <v>54</v>
      </c>
    </row>
    <row r="3" spans="1:16">
      <c r="A3" s="46" t="s">
        <v>55</v>
      </c>
      <c r="I3" s="44" t="s">
        <v>56</v>
      </c>
      <c r="J3" s="45" t="s">
        <v>57</v>
      </c>
    </row>
    <row r="4" spans="1:16">
      <c r="I4" s="44" t="s">
        <v>58</v>
      </c>
      <c r="J4" s="45" t="s">
        <v>57</v>
      </c>
    </row>
    <row r="5" spans="1:16" ht="13.5" thickBot="1">
      <c r="I5" s="47" t="s">
        <v>59</v>
      </c>
      <c r="J5" s="48" t="s">
        <v>60</v>
      </c>
    </row>
    <row r="10" spans="1:16" ht="13.5" thickBot="1"/>
    <row r="11" spans="1:16" ht="12.75" customHeight="1" thickBot="1">
      <c r="A11" s="35" t="str">
        <f t="shared" ref="A11:A20" si="0">P11</f>
        <v>IBVS 5341 </v>
      </c>
      <c r="B11" s="14" t="str">
        <f t="shared" ref="B11:B20" si="1">IF(H11=INT(H11),"I","II")</f>
        <v>II</v>
      </c>
      <c r="C11" s="35">
        <f t="shared" ref="C11:C20" si="2">1*G11</f>
        <v>52548.439200000001</v>
      </c>
      <c r="D11" s="19" t="str">
        <f t="shared" ref="D11:D20" si="3">VLOOKUP(F11,I$1:J$5,2,FALSE)</f>
        <v>vis</v>
      </c>
      <c r="E11" s="49">
        <f>VLOOKUP(C11,Active!C$21:E$973,3,FALSE)</f>
        <v>0.49999999999665168</v>
      </c>
      <c r="F11" s="14" t="s">
        <v>59</v>
      </c>
      <c r="G11" s="19" t="str">
        <f t="shared" ref="G11:G20" si="4">MID(I11,3,LEN(I11)-3)</f>
        <v>52548.4392</v>
      </c>
      <c r="H11" s="35">
        <f t="shared" ref="H11:H20" si="5">1*K11</f>
        <v>126.5</v>
      </c>
      <c r="I11" s="50" t="s">
        <v>71</v>
      </c>
      <c r="J11" s="51" t="s">
        <v>72</v>
      </c>
      <c r="K11" s="50">
        <v>126.5</v>
      </c>
      <c r="L11" s="50" t="s">
        <v>73</v>
      </c>
      <c r="M11" s="51" t="s">
        <v>63</v>
      </c>
      <c r="N11" s="51" t="s">
        <v>64</v>
      </c>
      <c r="O11" s="52" t="s">
        <v>74</v>
      </c>
      <c r="P11" s="53" t="s">
        <v>75</v>
      </c>
    </row>
    <row r="12" spans="1:16" ht="12.75" customHeight="1" thickBot="1">
      <c r="A12" s="35" t="str">
        <f t="shared" si="0"/>
        <v>IBVS 5668 </v>
      </c>
      <c r="B12" s="14" t="str">
        <f t="shared" si="1"/>
        <v>II</v>
      </c>
      <c r="C12" s="35">
        <f t="shared" si="2"/>
        <v>52956.474699999999</v>
      </c>
      <c r="D12" s="19" t="str">
        <f t="shared" si="3"/>
        <v>vis</v>
      </c>
      <c r="E12" s="49">
        <f>VLOOKUP(C12,Active!C$21:E$973,3,FALSE)</f>
        <v>1074.5017587880757</v>
      </c>
      <c r="F12" s="14" t="s">
        <v>59</v>
      </c>
      <c r="G12" s="19" t="str">
        <f t="shared" si="4"/>
        <v>52956.4747</v>
      </c>
      <c r="H12" s="35">
        <f t="shared" si="5"/>
        <v>1200.5</v>
      </c>
      <c r="I12" s="50" t="s">
        <v>76</v>
      </c>
      <c r="J12" s="51" t="s">
        <v>77</v>
      </c>
      <c r="K12" s="50">
        <v>1200.5</v>
      </c>
      <c r="L12" s="50" t="s">
        <v>78</v>
      </c>
      <c r="M12" s="51" t="s">
        <v>63</v>
      </c>
      <c r="N12" s="51" t="s">
        <v>64</v>
      </c>
      <c r="O12" s="52" t="s">
        <v>74</v>
      </c>
      <c r="P12" s="53" t="s">
        <v>79</v>
      </c>
    </row>
    <row r="13" spans="1:16" ht="12.75" customHeight="1" thickBot="1">
      <c r="A13" s="35" t="str">
        <f t="shared" si="0"/>
        <v>IBVS 5668 </v>
      </c>
      <c r="B13" s="14" t="str">
        <f t="shared" si="1"/>
        <v>I</v>
      </c>
      <c r="C13" s="35">
        <f t="shared" si="2"/>
        <v>53011.374199999998</v>
      </c>
      <c r="D13" s="19" t="str">
        <f t="shared" si="3"/>
        <v>vis</v>
      </c>
      <c r="E13" s="49">
        <f>VLOOKUP(C13,Active!C$21:E$973,3,FALSE)</f>
        <v>1219.0042826042288</v>
      </c>
      <c r="F13" s="14" t="s">
        <v>59</v>
      </c>
      <c r="G13" s="19" t="str">
        <f t="shared" si="4"/>
        <v>53011.3742</v>
      </c>
      <c r="H13" s="35">
        <f t="shared" si="5"/>
        <v>1345</v>
      </c>
      <c r="I13" s="50" t="s">
        <v>80</v>
      </c>
      <c r="J13" s="51" t="s">
        <v>81</v>
      </c>
      <c r="K13" s="50">
        <v>1345</v>
      </c>
      <c r="L13" s="50" t="s">
        <v>82</v>
      </c>
      <c r="M13" s="51" t="s">
        <v>63</v>
      </c>
      <c r="N13" s="51" t="s">
        <v>64</v>
      </c>
      <c r="O13" s="52" t="s">
        <v>74</v>
      </c>
      <c r="P13" s="53" t="s">
        <v>79</v>
      </c>
    </row>
    <row r="14" spans="1:16" ht="12.75" customHeight="1" thickBot="1">
      <c r="A14" s="35" t="str">
        <f t="shared" si="0"/>
        <v>IBVS 5606 </v>
      </c>
      <c r="B14" s="14" t="str">
        <f t="shared" si="1"/>
        <v>I</v>
      </c>
      <c r="C14" s="35">
        <f t="shared" si="2"/>
        <v>53262.501100000001</v>
      </c>
      <c r="D14" s="19" t="str">
        <f t="shared" si="3"/>
        <v>vis</v>
      </c>
      <c r="E14" s="49">
        <f>VLOOKUP(C14,Active!C$21:E$973,3,FALSE)</f>
        <v>1880.0024856502932</v>
      </c>
      <c r="F14" s="14" t="s">
        <v>59</v>
      </c>
      <c r="G14" s="19" t="str">
        <f t="shared" si="4"/>
        <v>53262.5011</v>
      </c>
      <c r="H14" s="35">
        <f t="shared" si="5"/>
        <v>2006</v>
      </c>
      <c r="I14" s="50" t="s">
        <v>83</v>
      </c>
      <c r="J14" s="51" t="s">
        <v>84</v>
      </c>
      <c r="K14" s="50">
        <v>2006</v>
      </c>
      <c r="L14" s="50" t="s">
        <v>65</v>
      </c>
      <c r="M14" s="51" t="s">
        <v>63</v>
      </c>
      <c r="N14" s="51" t="s">
        <v>64</v>
      </c>
      <c r="O14" s="52" t="s">
        <v>85</v>
      </c>
      <c r="P14" s="53" t="s">
        <v>86</v>
      </c>
    </row>
    <row r="15" spans="1:16" ht="12.75" customHeight="1" thickBot="1">
      <c r="A15" s="35" t="str">
        <f t="shared" si="0"/>
        <v>IBVS 5603 </v>
      </c>
      <c r="B15" s="14" t="str">
        <f t="shared" si="1"/>
        <v>I</v>
      </c>
      <c r="C15" s="35">
        <f t="shared" si="2"/>
        <v>53331.647499999999</v>
      </c>
      <c r="D15" s="19" t="str">
        <f t="shared" si="3"/>
        <v>vis</v>
      </c>
      <c r="E15" s="49">
        <f>VLOOKUP(C15,Active!C$21:E$973,3,FALSE)</f>
        <v>2062.0046771602524</v>
      </c>
      <c r="F15" s="14" t="s">
        <v>59</v>
      </c>
      <c r="G15" s="19" t="str">
        <f t="shared" si="4"/>
        <v>53331.6475</v>
      </c>
      <c r="H15" s="35">
        <f t="shared" si="5"/>
        <v>2188</v>
      </c>
      <c r="I15" s="50" t="s">
        <v>87</v>
      </c>
      <c r="J15" s="51" t="s">
        <v>88</v>
      </c>
      <c r="K15" s="50">
        <v>2188</v>
      </c>
      <c r="L15" s="50" t="s">
        <v>89</v>
      </c>
      <c r="M15" s="51" t="s">
        <v>63</v>
      </c>
      <c r="N15" s="51" t="s">
        <v>64</v>
      </c>
      <c r="O15" s="52" t="s">
        <v>66</v>
      </c>
      <c r="P15" s="53" t="s">
        <v>90</v>
      </c>
    </row>
    <row r="16" spans="1:16" ht="12.75" customHeight="1" thickBot="1">
      <c r="A16" s="35" t="str">
        <f t="shared" si="0"/>
        <v>IBVS 5606 </v>
      </c>
      <c r="B16" s="14" t="str">
        <f t="shared" si="1"/>
        <v>I</v>
      </c>
      <c r="C16" s="35">
        <f t="shared" si="2"/>
        <v>53345.325499999999</v>
      </c>
      <c r="D16" s="19" t="str">
        <f t="shared" si="3"/>
        <v>vis</v>
      </c>
      <c r="E16" s="49">
        <f>VLOOKUP(C16,Active!C$21:E$973,3,FALSE)</f>
        <v>2098.006927103464</v>
      </c>
      <c r="F16" s="14" t="s">
        <v>59</v>
      </c>
      <c r="G16" s="19" t="str">
        <f t="shared" si="4"/>
        <v>53345.3255</v>
      </c>
      <c r="H16" s="35">
        <f t="shared" si="5"/>
        <v>2224</v>
      </c>
      <c r="I16" s="50" t="s">
        <v>91</v>
      </c>
      <c r="J16" s="51" t="s">
        <v>92</v>
      </c>
      <c r="K16" s="50">
        <v>2224</v>
      </c>
      <c r="L16" s="50" t="s">
        <v>70</v>
      </c>
      <c r="M16" s="51" t="s">
        <v>63</v>
      </c>
      <c r="N16" s="51" t="s">
        <v>64</v>
      </c>
      <c r="O16" s="52" t="s">
        <v>85</v>
      </c>
      <c r="P16" s="53" t="s">
        <v>86</v>
      </c>
    </row>
    <row r="17" spans="1:16" ht="12.75" customHeight="1" thickBot="1">
      <c r="A17" s="35" t="str">
        <f t="shared" si="0"/>
        <v>IBVS 5606 </v>
      </c>
      <c r="B17" s="14" t="str">
        <f t="shared" si="1"/>
        <v>I</v>
      </c>
      <c r="C17" s="35">
        <f t="shared" si="2"/>
        <v>53351.403599999998</v>
      </c>
      <c r="D17" s="19" t="str">
        <f t="shared" si="3"/>
        <v>vis</v>
      </c>
      <c r="E17" s="49">
        <f>VLOOKUP(C17,Active!C$21:E$973,3,FALSE)</f>
        <v>2114.0052657041215</v>
      </c>
      <c r="F17" s="14" t="s">
        <v>59</v>
      </c>
      <c r="G17" s="19" t="str">
        <f t="shared" si="4"/>
        <v>53351.4036</v>
      </c>
      <c r="H17" s="35">
        <f t="shared" si="5"/>
        <v>2240</v>
      </c>
      <c r="I17" s="50" t="s">
        <v>93</v>
      </c>
      <c r="J17" s="51" t="s">
        <v>94</v>
      </c>
      <c r="K17" s="50">
        <v>2240</v>
      </c>
      <c r="L17" s="50" t="s">
        <v>95</v>
      </c>
      <c r="M17" s="51" t="s">
        <v>63</v>
      </c>
      <c r="N17" s="51" t="s">
        <v>64</v>
      </c>
      <c r="O17" s="52" t="s">
        <v>85</v>
      </c>
      <c r="P17" s="53" t="s">
        <v>86</v>
      </c>
    </row>
    <row r="18" spans="1:16" ht="12.75" customHeight="1" thickBot="1">
      <c r="A18" s="35" t="str">
        <f t="shared" si="0"/>
        <v>OEJV 0160 </v>
      </c>
      <c r="B18" s="14" t="str">
        <f t="shared" si="1"/>
        <v>I</v>
      </c>
      <c r="C18" s="35">
        <f t="shared" si="2"/>
        <v>56193.608809999998</v>
      </c>
      <c r="D18" s="19" t="str">
        <f t="shared" si="3"/>
        <v>vis</v>
      </c>
      <c r="E18" s="49">
        <f>VLOOKUP(C18,Active!C$21:E$973,3,FALSE)</f>
        <v>9595.0538371560069</v>
      </c>
      <c r="F18" s="14" t="s">
        <v>59</v>
      </c>
      <c r="G18" s="19" t="str">
        <f t="shared" si="4"/>
        <v>56193.60881</v>
      </c>
      <c r="H18" s="35">
        <f t="shared" si="5"/>
        <v>9721</v>
      </c>
      <c r="I18" s="50" t="s">
        <v>102</v>
      </c>
      <c r="J18" s="51" t="s">
        <v>103</v>
      </c>
      <c r="K18" s="50">
        <v>9721</v>
      </c>
      <c r="L18" s="50" t="s">
        <v>104</v>
      </c>
      <c r="M18" s="51" t="s">
        <v>61</v>
      </c>
      <c r="N18" s="51" t="s">
        <v>51</v>
      </c>
      <c r="O18" s="52" t="s">
        <v>105</v>
      </c>
      <c r="P18" s="53" t="s">
        <v>106</v>
      </c>
    </row>
    <row r="19" spans="1:16" ht="12.75" customHeight="1" thickBot="1">
      <c r="A19" s="35" t="str">
        <f t="shared" si="0"/>
        <v>VSB 46 </v>
      </c>
      <c r="B19" s="14" t="str">
        <f t="shared" si="1"/>
        <v>II</v>
      </c>
      <c r="C19" s="35">
        <f t="shared" si="2"/>
        <v>54142.967799999999</v>
      </c>
      <c r="D19" s="19" t="str">
        <f t="shared" si="3"/>
        <v>vis</v>
      </c>
      <c r="E19" s="49">
        <f>VLOOKUP(C19,Active!C$21:E$973,3,FALSE)</f>
        <v>4197.5037431495484</v>
      </c>
      <c r="F19" s="14" t="s">
        <v>59</v>
      </c>
      <c r="G19" s="19" t="str">
        <f t="shared" si="4"/>
        <v>54142.9678</v>
      </c>
      <c r="H19" s="35">
        <f t="shared" si="5"/>
        <v>4323.5</v>
      </c>
      <c r="I19" s="50" t="s">
        <v>96</v>
      </c>
      <c r="J19" s="51" t="s">
        <v>97</v>
      </c>
      <c r="K19" s="50">
        <v>4323.5</v>
      </c>
      <c r="L19" s="50" t="s">
        <v>98</v>
      </c>
      <c r="M19" s="51" t="s">
        <v>61</v>
      </c>
      <c r="N19" s="51" t="s">
        <v>62</v>
      </c>
      <c r="O19" s="52" t="s">
        <v>67</v>
      </c>
      <c r="P19" s="53" t="s">
        <v>68</v>
      </c>
    </row>
    <row r="20" spans="1:16" ht="12.75" customHeight="1" thickBot="1">
      <c r="A20" s="35" t="str">
        <f t="shared" si="0"/>
        <v>VSB 48 </v>
      </c>
      <c r="B20" s="14" t="str">
        <f t="shared" si="1"/>
        <v>I</v>
      </c>
      <c r="C20" s="35">
        <f t="shared" si="2"/>
        <v>54808.024700000002</v>
      </c>
      <c r="D20" s="19" t="str">
        <f t="shared" si="3"/>
        <v>vis</v>
      </c>
      <c r="E20" s="49">
        <f>VLOOKUP(C20,Active!C$21:E$973,3,FALSE)</f>
        <v>5948.0187848411515</v>
      </c>
      <c r="F20" s="14" t="s">
        <v>59</v>
      </c>
      <c r="G20" s="19" t="str">
        <f t="shared" si="4"/>
        <v>54808.0247</v>
      </c>
      <c r="H20" s="35">
        <f t="shared" si="5"/>
        <v>6074</v>
      </c>
      <c r="I20" s="50" t="s">
        <v>99</v>
      </c>
      <c r="J20" s="51" t="s">
        <v>100</v>
      </c>
      <c r="K20" s="50">
        <v>6074</v>
      </c>
      <c r="L20" s="50" t="s">
        <v>101</v>
      </c>
      <c r="M20" s="51" t="s">
        <v>61</v>
      </c>
      <c r="N20" s="51" t="s">
        <v>62</v>
      </c>
      <c r="O20" s="52" t="s">
        <v>67</v>
      </c>
      <c r="P20" s="53" t="s">
        <v>69</v>
      </c>
    </row>
    <row r="21" spans="1:16">
      <c r="B21" s="14"/>
      <c r="F21" s="14"/>
    </row>
    <row r="22" spans="1:16">
      <c r="B22" s="14"/>
      <c r="F22" s="14"/>
    </row>
    <row r="23" spans="1:16">
      <c r="B23" s="14"/>
      <c r="F23" s="14"/>
    </row>
    <row r="24" spans="1:16">
      <c r="B24" s="14"/>
      <c r="F24" s="14"/>
    </row>
    <row r="25" spans="1:16">
      <c r="B25" s="14"/>
      <c r="F25" s="14"/>
    </row>
    <row r="26" spans="1:16">
      <c r="B26" s="14"/>
      <c r="F26" s="14"/>
    </row>
    <row r="27" spans="1:16">
      <c r="B27" s="14"/>
      <c r="F27" s="14"/>
    </row>
    <row r="28" spans="1:16">
      <c r="B28" s="14"/>
      <c r="F28" s="14"/>
    </row>
    <row r="29" spans="1:16">
      <c r="B29" s="14"/>
      <c r="F29" s="14"/>
    </row>
    <row r="30" spans="1:16">
      <c r="B30" s="14"/>
      <c r="F30" s="14"/>
    </row>
    <row r="31" spans="1:16">
      <c r="B31" s="14"/>
      <c r="F31" s="14"/>
    </row>
    <row r="32" spans="1:16">
      <c r="B32" s="14"/>
      <c r="F32" s="14"/>
    </row>
    <row r="33" spans="2:6">
      <c r="B33" s="14"/>
      <c r="F33" s="14"/>
    </row>
    <row r="34" spans="2:6">
      <c r="B34" s="14"/>
      <c r="F34" s="14"/>
    </row>
    <row r="35" spans="2:6">
      <c r="B35" s="14"/>
      <c r="F35" s="14"/>
    </row>
    <row r="36" spans="2:6">
      <c r="B36" s="14"/>
      <c r="F36" s="14"/>
    </row>
    <row r="37" spans="2:6">
      <c r="B37" s="14"/>
      <c r="F37" s="14"/>
    </row>
    <row r="38" spans="2:6">
      <c r="B38" s="14"/>
      <c r="F38" s="14"/>
    </row>
    <row r="39" spans="2:6">
      <c r="B39" s="14"/>
      <c r="F39" s="14"/>
    </row>
    <row r="40" spans="2:6">
      <c r="B40" s="14"/>
      <c r="F40" s="14"/>
    </row>
    <row r="41" spans="2:6">
      <c r="B41" s="14"/>
      <c r="F41" s="14"/>
    </row>
    <row r="42" spans="2:6">
      <c r="B42" s="14"/>
      <c r="F42" s="14"/>
    </row>
    <row r="43" spans="2:6">
      <c r="B43" s="14"/>
      <c r="F43" s="14"/>
    </row>
    <row r="44" spans="2:6">
      <c r="B44" s="14"/>
      <c r="F44" s="14"/>
    </row>
    <row r="45" spans="2:6">
      <c r="B45" s="14"/>
      <c r="F45" s="14"/>
    </row>
    <row r="46" spans="2:6">
      <c r="B46" s="14"/>
      <c r="F46" s="14"/>
    </row>
    <row r="47" spans="2:6">
      <c r="B47" s="14"/>
      <c r="F47" s="14"/>
    </row>
    <row r="48" spans="2:6">
      <c r="B48" s="14"/>
      <c r="F48" s="14"/>
    </row>
    <row r="49" spans="2:6">
      <c r="B49" s="14"/>
      <c r="F49" s="14"/>
    </row>
    <row r="50" spans="2:6">
      <c r="B50" s="14"/>
      <c r="F50" s="14"/>
    </row>
    <row r="51" spans="2:6">
      <c r="B51" s="14"/>
      <c r="F51" s="14"/>
    </row>
    <row r="52" spans="2:6">
      <c r="B52" s="14"/>
      <c r="F52" s="14"/>
    </row>
    <row r="53" spans="2:6">
      <c r="B53" s="14"/>
      <c r="F53" s="14"/>
    </row>
    <row r="54" spans="2:6">
      <c r="B54" s="14"/>
      <c r="F54" s="14"/>
    </row>
    <row r="55" spans="2:6">
      <c r="B55" s="14"/>
      <c r="F55" s="14"/>
    </row>
    <row r="56" spans="2:6">
      <c r="B56" s="14"/>
      <c r="F56" s="14"/>
    </row>
    <row r="57" spans="2:6">
      <c r="B57" s="14"/>
      <c r="F57" s="14"/>
    </row>
    <row r="58" spans="2:6">
      <c r="B58" s="14"/>
      <c r="F58" s="14"/>
    </row>
    <row r="59" spans="2:6">
      <c r="B59" s="14"/>
      <c r="F59" s="14"/>
    </row>
    <row r="60" spans="2:6">
      <c r="B60" s="14"/>
      <c r="F60" s="14"/>
    </row>
    <row r="61" spans="2:6">
      <c r="B61" s="14"/>
      <c r="F61" s="14"/>
    </row>
    <row r="62" spans="2:6">
      <c r="B62" s="14"/>
      <c r="F62" s="14"/>
    </row>
    <row r="63" spans="2:6">
      <c r="B63" s="14"/>
      <c r="F63" s="14"/>
    </row>
    <row r="64" spans="2:6">
      <c r="B64" s="14"/>
      <c r="F64" s="14"/>
    </row>
    <row r="65" spans="2:6">
      <c r="B65" s="14"/>
      <c r="F65" s="14"/>
    </row>
    <row r="66" spans="2:6">
      <c r="B66" s="14"/>
      <c r="F66" s="14"/>
    </row>
    <row r="67" spans="2:6">
      <c r="B67" s="14"/>
      <c r="F67" s="14"/>
    </row>
    <row r="68" spans="2:6">
      <c r="B68" s="14"/>
      <c r="F68" s="14"/>
    </row>
    <row r="69" spans="2:6">
      <c r="B69" s="14"/>
      <c r="F69" s="14"/>
    </row>
    <row r="70" spans="2:6">
      <c r="B70" s="14"/>
      <c r="F70" s="14"/>
    </row>
    <row r="71" spans="2:6">
      <c r="B71" s="14"/>
      <c r="F71" s="14"/>
    </row>
    <row r="72" spans="2:6">
      <c r="B72" s="14"/>
      <c r="F72" s="14"/>
    </row>
    <row r="73" spans="2:6">
      <c r="B73" s="14"/>
      <c r="F73" s="14"/>
    </row>
    <row r="74" spans="2:6">
      <c r="B74" s="14"/>
      <c r="F74" s="14"/>
    </row>
    <row r="75" spans="2:6">
      <c r="B75" s="14"/>
      <c r="F75" s="14"/>
    </row>
    <row r="76" spans="2:6">
      <c r="B76" s="14"/>
      <c r="F76" s="14"/>
    </row>
    <row r="77" spans="2:6">
      <c r="B77" s="14"/>
      <c r="F77" s="14"/>
    </row>
    <row r="78" spans="2:6">
      <c r="B78" s="14"/>
      <c r="F78" s="14"/>
    </row>
    <row r="79" spans="2:6">
      <c r="B79" s="14"/>
      <c r="F79" s="14"/>
    </row>
    <row r="80" spans="2:6">
      <c r="B80" s="14"/>
      <c r="F80" s="14"/>
    </row>
    <row r="81" spans="2:6">
      <c r="B81" s="14"/>
      <c r="F81" s="14"/>
    </row>
    <row r="82" spans="2:6">
      <c r="B82" s="14"/>
      <c r="F82" s="14"/>
    </row>
    <row r="83" spans="2:6">
      <c r="B83" s="14"/>
      <c r="F83" s="14"/>
    </row>
    <row r="84" spans="2:6">
      <c r="B84" s="14"/>
      <c r="F84" s="14"/>
    </row>
    <row r="85" spans="2:6">
      <c r="B85" s="14"/>
      <c r="F85" s="14"/>
    </row>
    <row r="86" spans="2:6">
      <c r="B86" s="14"/>
      <c r="F86" s="14"/>
    </row>
    <row r="87" spans="2:6">
      <c r="B87" s="14"/>
      <c r="F87" s="14"/>
    </row>
    <row r="88" spans="2:6">
      <c r="B88" s="14"/>
      <c r="F88" s="14"/>
    </row>
    <row r="89" spans="2:6">
      <c r="B89" s="14"/>
      <c r="F89" s="14"/>
    </row>
    <row r="90" spans="2:6">
      <c r="B90" s="14"/>
      <c r="F90" s="14"/>
    </row>
    <row r="91" spans="2:6">
      <c r="B91" s="14"/>
      <c r="F91" s="14"/>
    </row>
    <row r="92" spans="2:6">
      <c r="B92" s="14"/>
      <c r="F92" s="14"/>
    </row>
    <row r="93" spans="2:6">
      <c r="B93" s="14"/>
      <c r="F93" s="14"/>
    </row>
    <row r="94" spans="2:6">
      <c r="B94" s="14"/>
      <c r="F94" s="14"/>
    </row>
    <row r="95" spans="2:6">
      <c r="B95" s="14"/>
      <c r="F95" s="14"/>
    </row>
    <row r="96" spans="2:6">
      <c r="B96" s="14"/>
      <c r="F96" s="14"/>
    </row>
    <row r="97" spans="2:6">
      <c r="B97" s="14"/>
      <c r="F97" s="14"/>
    </row>
    <row r="98" spans="2:6">
      <c r="B98" s="14"/>
      <c r="F98" s="14"/>
    </row>
    <row r="99" spans="2:6">
      <c r="B99" s="14"/>
      <c r="F99" s="14"/>
    </row>
    <row r="100" spans="2:6">
      <c r="B100" s="14"/>
      <c r="F100" s="14"/>
    </row>
    <row r="101" spans="2:6">
      <c r="B101" s="14"/>
      <c r="F101" s="14"/>
    </row>
    <row r="102" spans="2:6">
      <c r="B102" s="14"/>
      <c r="F102" s="14"/>
    </row>
    <row r="103" spans="2:6">
      <c r="B103" s="14"/>
      <c r="F103" s="14"/>
    </row>
    <row r="104" spans="2:6">
      <c r="B104" s="14"/>
      <c r="F104" s="14"/>
    </row>
    <row r="105" spans="2:6">
      <c r="B105" s="14"/>
      <c r="F105" s="14"/>
    </row>
    <row r="106" spans="2:6">
      <c r="B106" s="14"/>
      <c r="F106" s="14"/>
    </row>
    <row r="107" spans="2:6">
      <c r="B107" s="14"/>
      <c r="F107" s="14"/>
    </row>
    <row r="108" spans="2:6">
      <c r="B108" s="14"/>
      <c r="F108" s="14"/>
    </row>
    <row r="109" spans="2:6">
      <c r="B109" s="14"/>
      <c r="F109" s="14"/>
    </row>
    <row r="110" spans="2:6">
      <c r="B110" s="14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</sheetData>
  <phoneticPr fontId="8" type="noConversion"/>
  <hyperlinks>
    <hyperlink ref="P11" r:id="rId1" display="http://www.konkoly.hu/cgi-bin/IBVS?5341" xr:uid="{00000000-0004-0000-0100-000000000000}"/>
    <hyperlink ref="P12" r:id="rId2" display="http://www.konkoly.hu/cgi-bin/IBVS?5668" xr:uid="{00000000-0004-0000-0100-000001000000}"/>
    <hyperlink ref="P13" r:id="rId3" display="http://www.konkoly.hu/cgi-bin/IBVS?5668" xr:uid="{00000000-0004-0000-0100-000002000000}"/>
    <hyperlink ref="P14" r:id="rId4" display="http://www.konkoly.hu/cgi-bin/IBVS?5606" xr:uid="{00000000-0004-0000-0100-000003000000}"/>
    <hyperlink ref="P15" r:id="rId5" display="http://www.konkoly.hu/cgi-bin/IBVS?5603" xr:uid="{00000000-0004-0000-0100-000004000000}"/>
    <hyperlink ref="P16" r:id="rId6" display="http://www.konkoly.hu/cgi-bin/IBVS?5606" xr:uid="{00000000-0004-0000-0100-000005000000}"/>
    <hyperlink ref="P17" r:id="rId7" display="http://www.konkoly.hu/cgi-bin/IBVS?5606" xr:uid="{00000000-0004-0000-0100-000006000000}"/>
    <hyperlink ref="P19" r:id="rId8" display="http://vsolj.cetus-net.org/no46.pdf" xr:uid="{00000000-0004-0000-0100-000007000000}"/>
    <hyperlink ref="P20" r:id="rId9" display="http://vsolj.cetus-net.org/no48.pdf" xr:uid="{00000000-0004-0000-0100-000008000000}"/>
    <hyperlink ref="P18" r:id="rId10" display="http://var.astro.cz/oejv/issues/oejv0160.pdf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2023-08-14T05:19:24Z</dcterms:modified>
</cp:coreProperties>
</file>