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F058CA0-9AB6-4E51-8FD5-F1BA66FCF264}" xr6:coauthVersionLast="47" xr6:coauthVersionMax="47" xr10:uidLastSave="{00000000-0000-0000-0000-000000000000}"/>
  <bookViews>
    <workbookView xWindow="14145" yWindow="165" windowWidth="13995" windowHeight="14430" xr2:uid="{00000000-000D-0000-FFFF-FFFF00000000}"/>
  </bookViews>
  <sheets>
    <sheet name="Active" sheetId="9" r:id="rId1"/>
    <sheet name="BAV" sheetId="7" r:id="rId2"/>
  </sheets>
  <calcPr calcId="181029"/>
</workbook>
</file>

<file path=xl/calcChain.xml><?xml version="1.0" encoding="utf-8"?>
<calcChain xmlns="http://schemas.openxmlformats.org/spreadsheetml/2006/main">
  <c r="E53" i="9" l="1"/>
  <c r="F53" i="9" s="1"/>
  <c r="G53" i="9" s="1"/>
  <c r="K53" i="9" s="1"/>
  <c r="Q53" i="9"/>
  <c r="E54" i="9"/>
  <c r="F54" i="9"/>
  <c r="G54" i="9" s="1"/>
  <c r="K54" i="9" s="1"/>
  <c r="Q54" i="9"/>
  <c r="E55" i="9"/>
  <c r="F55" i="9"/>
  <c r="G55" i="9" s="1"/>
  <c r="K55" i="9" s="1"/>
  <c r="Q55" i="9"/>
  <c r="E52" i="9"/>
  <c r="F52" i="9" s="1"/>
  <c r="G52" i="9" s="1"/>
  <c r="K52" i="9" s="1"/>
  <c r="Q52" i="9"/>
  <c r="C17" i="9"/>
  <c r="E48" i="9"/>
  <c r="F48" i="9"/>
  <c r="G48" i="9"/>
  <c r="K48" i="9"/>
  <c r="E30" i="9"/>
  <c r="F30" i="9"/>
  <c r="G30" i="9"/>
  <c r="H30" i="9"/>
  <c r="E31" i="9"/>
  <c r="F31" i="9"/>
  <c r="G31" i="9"/>
  <c r="H31" i="9"/>
  <c r="E32" i="9"/>
  <c r="F32" i="9"/>
  <c r="G32" i="9"/>
  <c r="H32" i="9"/>
  <c r="E33" i="9"/>
  <c r="F33" i="9"/>
  <c r="G33" i="9"/>
  <c r="H33" i="9"/>
  <c r="E34" i="9"/>
  <c r="F34" i="9"/>
  <c r="G34" i="9"/>
  <c r="H34" i="9"/>
  <c r="E35" i="9"/>
  <c r="F35" i="9"/>
  <c r="G35" i="9"/>
  <c r="H35" i="9"/>
  <c r="E36" i="9"/>
  <c r="F36" i="9"/>
  <c r="G36" i="9"/>
  <c r="H36" i="9"/>
  <c r="E37" i="9"/>
  <c r="F37" i="9"/>
  <c r="G37" i="9"/>
  <c r="K37" i="9"/>
  <c r="E38" i="9"/>
  <c r="F38" i="9"/>
  <c r="G38" i="9"/>
  <c r="K38" i="9"/>
  <c r="E39" i="9"/>
  <c r="F39" i="9"/>
  <c r="G39" i="9"/>
  <c r="K39" i="9"/>
  <c r="E40" i="9"/>
  <c r="F40" i="9"/>
  <c r="G40" i="9"/>
  <c r="K40" i="9"/>
  <c r="E41" i="9"/>
  <c r="F41" i="9"/>
  <c r="G41" i="9"/>
  <c r="K41" i="9"/>
  <c r="E42" i="9"/>
  <c r="F42" i="9"/>
  <c r="G42" i="9"/>
  <c r="K42" i="9"/>
  <c r="E43" i="9"/>
  <c r="F43" i="9"/>
  <c r="G43" i="9"/>
  <c r="K43" i="9"/>
  <c r="E44" i="9"/>
  <c r="F44" i="9"/>
  <c r="G44" i="9"/>
  <c r="K44" i="9"/>
  <c r="E45" i="9"/>
  <c r="F45" i="9"/>
  <c r="G45" i="9"/>
  <c r="K45" i="9"/>
  <c r="E46" i="9"/>
  <c r="F46" i="9"/>
  <c r="G46" i="9"/>
  <c r="K46" i="9"/>
  <c r="E47" i="9"/>
  <c r="F47" i="9"/>
  <c r="G47" i="9"/>
  <c r="K47" i="9"/>
  <c r="E49" i="9"/>
  <c r="F49" i="9"/>
  <c r="G49" i="9"/>
  <c r="K49" i="9"/>
  <c r="E50" i="9"/>
  <c r="F50" i="9"/>
  <c r="G50" i="9"/>
  <c r="K50" i="9"/>
  <c r="E51" i="9"/>
  <c r="F51" i="9"/>
  <c r="G51" i="9"/>
  <c r="K51" i="9"/>
  <c r="Q48" i="9"/>
  <c r="Q49" i="9"/>
  <c r="Q50" i="9"/>
  <c r="Q51" i="9"/>
  <c r="C9" i="9"/>
  <c r="D9" i="9"/>
  <c r="E21" i="9"/>
  <c r="F21" i="9"/>
  <c r="G21" i="9"/>
  <c r="H21" i="9"/>
  <c r="E22" i="9"/>
  <c r="F22" i="9"/>
  <c r="G22" i="9"/>
  <c r="H22" i="9"/>
  <c r="E23" i="9"/>
  <c r="F23" i="9"/>
  <c r="G23" i="9"/>
  <c r="H23" i="9"/>
  <c r="E24" i="9"/>
  <c r="F24" i="9"/>
  <c r="G24" i="9"/>
  <c r="H24" i="9"/>
  <c r="E25" i="9"/>
  <c r="F25" i="9"/>
  <c r="G25" i="9"/>
  <c r="H25" i="9"/>
  <c r="E26" i="9"/>
  <c r="F26" i="9"/>
  <c r="G26" i="9"/>
  <c r="H26" i="9"/>
  <c r="E27" i="9"/>
  <c r="F27" i="9"/>
  <c r="G27" i="9"/>
  <c r="H27" i="9"/>
  <c r="E28" i="9"/>
  <c r="F28" i="9"/>
  <c r="G28" i="9"/>
  <c r="H28" i="9"/>
  <c r="E29" i="9"/>
  <c r="F29" i="9"/>
  <c r="G29" i="9"/>
  <c r="H29" i="9"/>
  <c r="F16" i="9"/>
  <c r="C18" i="9"/>
  <c r="C19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40" i="9"/>
  <c r="Q41" i="9"/>
  <c r="Q43" i="9"/>
  <c r="Q37" i="9"/>
  <c r="Q38" i="9"/>
  <c r="Q39" i="9"/>
  <c r="Q42" i="9"/>
  <c r="Q44" i="9"/>
  <c r="Q45" i="9"/>
  <c r="Q46" i="9"/>
  <c r="Q47" i="9"/>
  <c r="G38" i="7"/>
  <c r="C38" i="7"/>
  <c r="E38" i="7"/>
  <c r="G37" i="7"/>
  <c r="C37" i="7"/>
  <c r="E37" i="7"/>
  <c r="G36" i="7"/>
  <c r="C36" i="7"/>
  <c r="E36" i="7"/>
  <c r="G35" i="7"/>
  <c r="C35" i="7"/>
  <c r="E35" i="7"/>
  <c r="G14" i="7"/>
  <c r="C14" i="7"/>
  <c r="E14" i="7"/>
  <c r="G13" i="7"/>
  <c r="C13" i="7"/>
  <c r="E13" i="7"/>
  <c r="G34" i="7"/>
  <c r="C34" i="7"/>
  <c r="E34" i="7"/>
  <c r="G12" i="7"/>
  <c r="C12" i="7"/>
  <c r="E12" i="7"/>
  <c r="G11" i="7"/>
  <c r="C11" i="7"/>
  <c r="E11" i="7"/>
  <c r="G33" i="7"/>
  <c r="C33" i="7"/>
  <c r="E33" i="7"/>
  <c r="G32" i="7"/>
  <c r="C32" i="7"/>
  <c r="E32" i="7"/>
  <c r="G31" i="7"/>
  <c r="C31" i="7"/>
  <c r="E31" i="7"/>
  <c r="G30" i="7"/>
  <c r="C30" i="7"/>
  <c r="E30" i="7"/>
  <c r="G29" i="7"/>
  <c r="C29" i="7"/>
  <c r="E29" i="7"/>
  <c r="G28" i="7"/>
  <c r="C28" i="7"/>
  <c r="E28" i="7"/>
  <c r="G27" i="7"/>
  <c r="C27" i="7"/>
  <c r="E27" i="7"/>
  <c r="G26" i="7"/>
  <c r="C26" i="7"/>
  <c r="E26" i="7"/>
  <c r="G25" i="7"/>
  <c r="C25" i="7"/>
  <c r="E25" i="7"/>
  <c r="G24" i="7"/>
  <c r="C24" i="7"/>
  <c r="E24" i="7"/>
  <c r="G23" i="7"/>
  <c r="C23" i="7"/>
  <c r="E23" i="7"/>
  <c r="G22" i="7"/>
  <c r="C22" i="7"/>
  <c r="E22" i="7"/>
  <c r="G21" i="7"/>
  <c r="C21" i="7"/>
  <c r="E21" i="7"/>
  <c r="G20" i="7"/>
  <c r="C20" i="7"/>
  <c r="E20" i="7"/>
  <c r="G19" i="7"/>
  <c r="C19" i="7"/>
  <c r="E19" i="7"/>
  <c r="G18" i="7"/>
  <c r="C18" i="7"/>
  <c r="E18" i="7"/>
  <c r="G17" i="7"/>
  <c r="C17" i="7"/>
  <c r="E17" i="7"/>
  <c r="G16" i="7"/>
  <c r="C16" i="7"/>
  <c r="E16" i="7"/>
  <c r="G15" i="7"/>
  <c r="C15" i="7"/>
  <c r="E15" i="7"/>
  <c r="H38" i="7"/>
  <c r="D38" i="7"/>
  <c r="B38" i="7"/>
  <c r="A38" i="7"/>
  <c r="H37" i="7"/>
  <c r="B37" i="7"/>
  <c r="D37" i="7"/>
  <c r="A37" i="7"/>
  <c r="H36" i="7"/>
  <c r="D36" i="7"/>
  <c r="B36" i="7"/>
  <c r="A36" i="7"/>
  <c r="H35" i="7"/>
  <c r="B35" i="7"/>
  <c r="D35" i="7"/>
  <c r="A35" i="7"/>
  <c r="H14" i="7"/>
  <c r="D14" i="7"/>
  <c r="B14" i="7"/>
  <c r="A14" i="7"/>
  <c r="H13" i="7"/>
  <c r="B13" i="7"/>
  <c r="D13" i="7"/>
  <c r="A13" i="7"/>
  <c r="H34" i="7"/>
  <c r="D34" i="7"/>
  <c r="B34" i="7"/>
  <c r="A34" i="7"/>
  <c r="H12" i="7"/>
  <c r="B12" i="7"/>
  <c r="D12" i="7"/>
  <c r="A12" i="7"/>
  <c r="H11" i="7"/>
  <c r="D11" i="7"/>
  <c r="B11" i="7"/>
  <c r="A11" i="7"/>
  <c r="H33" i="7"/>
  <c r="B33" i="7"/>
  <c r="D33" i="7"/>
  <c r="A33" i="7"/>
  <c r="H32" i="7"/>
  <c r="D32" i="7"/>
  <c r="B32" i="7"/>
  <c r="A32" i="7"/>
  <c r="H31" i="7"/>
  <c r="B31" i="7"/>
  <c r="D31" i="7"/>
  <c r="A31" i="7"/>
  <c r="H30" i="7"/>
  <c r="D30" i="7"/>
  <c r="B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D24" i="7"/>
  <c r="B24" i="7"/>
  <c r="A24" i="7"/>
  <c r="H23" i="7"/>
  <c r="B23" i="7"/>
  <c r="D23" i="7"/>
  <c r="A23" i="7"/>
  <c r="H22" i="7"/>
  <c r="D22" i="7"/>
  <c r="B22" i="7"/>
  <c r="A22" i="7"/>
  <c r="H21" i="7"/>
  <c r="B21" i="7"/>
  <c r="D21" i="7"/>
  <c r="A21" i="7"/>
  <c r="H20" i="7"/>
  <c r="D20" i="7"/>
  <c r="B20" i="7"/>
  <c r="A20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C12" i="9"/>
  <c r="C11" i="9"/>
  <c r="O55" i="9" l="1"/>
  <c r="O54" i="9"/>
  <c r="O53" i="9"/>
  <c r="O52" i="9"/>
  <c r="C16" i="9"/>
  <c r="O45" i="9"/>
  <c r="O49" i="9"/>
  <c r="O32" i="9"/>
  <c r="O28" i="9"/>
  <c r="O29" i="9"/>
  <c r="O48" i="9"/>
  <c r="O43" i="9"/>
  <c r="O36" i="9"/>
  <c r="O51" i="9"/>
  <c r="O22" i="9"/>
  <c r="O39" i="9"/>
  <c r="O34" i="9"/>
  <c r="O31" i="9"/>
  <c r="O46" i="9"/>
  <c r="O38" i="9"/>
  <c r="O37" i="9"/>
  <c r="O30" i="9"/>
  <c r="O50" i="9"/>
  <c r="O35" i="9"/>
  <c r="O44" i="9"/>
  <c r="O40" i="9"/>
  <c r="O23" i="9"/>
  <c r="O26" i="9"/>
  <c r="O33" i="9"/>
  <c r="O25" i="9"/>
  <c r="O27" i="9"/>
  <c r="O41" i="9"/>
  <c r="O21" i="9"/>
  <c r="O47" i="9"/>
  <c r="O24" i="9"/>
  <c r="O42" i="9"/>
  <c r="F18" i="9"/>
  <c r="F17" i="9"/>
  <c r="D18" i="9" l="1"/>
  <c r="F19" i="9"/>
</calcChain>
</file>

<file path=xl/sharedStrings.xml><?xml version="1.0" encoding="utf-8"?>
<sst xmlns="http://schemas.openxmlformats.org/spreadsheetml/2006/main" count="370" uniqueCount="181">
  <si>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</si>
  <si>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</si>
  <si>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</si>
  <si>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</si>
  <si>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</si>
  <si>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</si>
  <si>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</si>
  <si>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</si>
  <si>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</si>
  <si>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</si>
  <si>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</si>
  <si>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</si>
  <si>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</si>
  <si>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</si>
  <si>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</si>
  <si>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</si>
  <si>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</si>
  <si>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</si>
  <si>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</si>
  <si>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</si>
  <si>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</si>
  <si>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</si>
  <si>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</si>
  <si>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</si>
  <si>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</si>
  <si>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</si>
  <si>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</si>
  <si>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 xml:space="preserve">EW/KW     </t>
  </si>
  <si>
    <t>I</t>
  </si>
  <si>
    <t>Misc</t>
  </si>
  <si>
    <t>II</t>
  </si>
  <si>
    <t>YY Cet / GSC 5856-1042</t>
  </si>
  <si>
    <t>IBVS 5677</t>
  </si>
  <si>
    <t>Sum</t>
  </si>
  <si>
    <t>count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</si>
  <si>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</si>
  <si>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</si>
  <si>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</si>
  <si>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</si>
  <si>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</si>
  <si>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</si>
  <si>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</si>
  <si>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</si>
  <si>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</si>
  <si>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</si>
  <si>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</si>
  <si>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</si>
  <si>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</si>
  <si>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</si>
  <si>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</si>
  <si>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</si>
  <si>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</si>
  <si>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</si>
  <si>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</si>
  <si>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2427333.534 </t>
  </si>
  <si>
    <t> 18.09.1933 00:48 </t>
  </si>
  <si>
    <t> 0.034 </t>
  </si>
  <si>
    <t>P </t>
  </si>
  <si>
    <t> H.Gessner </t>
  </si>
  <si>
    <t>IBVS 225 </t>
  </si>
  <si>
    <t>2427343.506 </t>
  </si>
  <si>
    <t> 28.09.1933 00:08 </t>
  </si>
  <si>
    <t> -0.051 </t>
  </si>
  <si>
    <t>2427398.308 </t>
  </si>
  <si>
    <t> 21.11.1933 19:23 </t>
  </si>
  <si>
    <t> -0.004 </t>
  </si>
  <si>
    <t>2427417.310 </t>
  </si>
  <si>
    <t> 10.12.1933 19:26 </t>
  </si>
  <si>
    <t> 0.001 </t>
  </si>
  <si>
    <t>2427417.354 </t>
  </si>
  <si>
    <t> 10.12.1933 20:29 </t>
  </si>
  <si>
    <t> 0.045 </t>
  </si>
  <si>
    <t>2427421.263 </t>
  </si>
  <si>
    <t> 14.12.1933 18:18 </t>
  </si>
  <si>
    <t> 0.043 </t>
  </si>
  <si>
    <t>2436485.483 </t>
  </si>
  <si>
    <t> 08.10.1958 23:35 </t>
  </si>
  <si>
    <t> 1.144 </t>
  </si>
  <si>
    <t>2436485.519 </t>
  </si>
  <si>
    <t> 09.10.1958 00:27 </t>
  </si>
  <si>
    <t> 1.180 </t>
  </si>
  <si>
    <t>2438002.413 </t>
  </si>
  <si>
    <t> 03.12.1962 21:54 </t>
  </si>
  <si>
    <t> 1.129 </t>
  </si>
  <si>
    <t> W.Strohmeier </t>
  </si>
  <si>
    <t>2438522.496 </t>
  </si>
  <si>
    <t> 06.05.1964 23:54 </t>
  </si>
  <si>
    <t> 1.037 </t>
  </si>
  <si>
    <t>2438711.351 </t>
  </si>
  <si>
    <t> 11.11.1964 20:25 </t>
  </si>
  <si>
    <t> 1.042 </t>
  </si>
  <si>
    <t>2438729.311 </t>
  </si>
  <si>
    <t> 29.11.1964 19:27 </t>
  </si>
  <si>
    <t> 1.122 </t>
  </si>
  <si>
    <t>2438738.279 </t>
  </si>
  <si>
    <t> 08.12.1964 18:41 </t>
  </si>
  <si>
    <t> 1.151 </t>
  </si>
  <si>
    <t>2439054.431 </t>
  </si>
  <si>
    <t> 20.10.1965 22:20 </t>
  </si>
  <si>
    <t> 1.063 </t>
  </si>
  <si>
    <t>2439378.551 </t>
  </si>
  <si>
    <t> 10.09.1966 01:13 </t>
  </si>
  <si>
    <t> 1.121 </t>
  </si>
  <si>
    <t>2439443.360 </t>
  </si>
  <si>
    <t> 13.11.1966 20:38 </t>
  </si>
  <si>
    <t> 1.118 </t>
  </si>
  <si>
    <t>2452176.0840 </t>
  </si>
  <si>
    <t> 23.09.2001 14:00 </t>
  </si>
  <si>
    <t> 2.1181 </t>
  </si>
  <si>
    <t>E </t>
  </si>
  <si>
    <t>?</t>
  </si>
  <si>
    <t> K.Nagai </t>
  </si>
  <si>
    <t>VSB 39 </t>
  </si>
  <si>
    <t>2452561.0304 </t>
  </si>
  <si>
    <t> 13.10.2002 12:43 </t>
  </si>
  <si>
    <t> 2.1012 </t>
  </si>
  <si>
    <t>VSB 40 </t>
  </si>
  <si>
    <t>2452913.1766 </t>
  </si>
  <si>
    <t> 30.09.2003 16:14 </t>
  </si>
  <si>
    <t> 2.2491 </t>
  </si>
  <si>
    <t>VSB 42 </t>
  </si>
  <si>
    <t>2453381.5284 </t>
  </si>
  <si>
    <t> 11.01.2005 00:40 </t>
  </si>
  <si>
    <t> 2.3873 </t>
  </si>
  <si>
    <t> S.Dvorak </t>
  </si>
  <si>
    <t>IBVS 5677 </t>
  </si>
  <si>
    <t>2453388.6423 </t>
  </si>
  <si>
    <t> 18.01.2005 03:24 </t>
  </si>
  <si>
    <t> 2.2377 </t>
  </si>
  <si>
    <t> T.Krajci </t>
  </si>
  <si>
    <t>IBVS 5690 </t>
  </si>
  <si>
    <t>2453668.0770 </t>
  </si>
  <si>
    <t> 24.10.2005 13:50 </t>
  </si>
  <si>
    <t> 2.3087 </t>
  </si>
  <si>
    <t>VSB 44 </t>
  </si>
  <si>
    <t>2454040.7737 </t>
  </si>
  <si>
    <t> 01.11.2006 06:34 </t>
  </si>
  <si>
    <t> 2.3341 </t>
  </si>
  <si>
    <t>C </t>
  </si>
  <si>
    <t>-I</t>
  </si>
  <si>
    <t> W.Ogloza et al. </t>
  </si>
  <si>
    <t>IBVS 5843 </t>
  </si>
  <si>
    <t>2454812.6640 </t>
  </si>
  <si>
    <t> 12.12.2008 03:56 </t>
  </si>
  <si>
    <t>24589</t>
  </si>
  <si>
    <t> 2.0630 </t>
  </si>
  <si>
    <t> R.Diethelm </t>
  </si>
  <si>
    <t>IBVS 5871 </t>
  </si>
  <si>
    <t>2454815.0334 </t>
  </si>
  <si>
    <t> 14.12.2008 12:48 </t>
  </si>
  <si>
    <t>24591</t>
  </si>
  <si>
    <t> 2.1975 </t>
  </si>
  <si>
    <t>Rc</t>
  </si>
  <si>
    <t> K.Nakajima </t>
  </si>
  <si>
    <t>VSB 48 </t>
  </si>
  <si>
    <t>2455533.9592 </t>
  </si>
  <si>
    <t> 03.12.2010 11:01 </t>
  </si>
  <si>
    <t>25234.5</t>
  </si>
  <si>
    <t> 2.0410 </t>
  </si>
  <si>
    <t>Ic</t>
  </si>
  <si>
    <t>VSB 51 </t>
  </si>
  <si>
    <t>2456608.9782 </t>
  </si>
  <si>
    <t> 12.11.2013 11:28 </t>
  </si>
  <si>
    <t>26196.5</t>
  </si>
  <si>
    <t> 2.0683 </t>
  </si>
  <si>
    <t>VSB 56 </t>
  </si>
  <si>
    <t>2456974.9682 </t>
  </si>
  <si>
    <t> 13.11.2014 11:14 </t>
  </si>
  <si>
    <t>26524</t>
  </si>
  <si>
    <t> 2.0918 </t>
  </si>
  <si>
    <t>VSB 59 </t>
  </si>
  <si>
    <t>Add cycle</t>
  </si>
  <si>
    <t>Old Cycle</t>
  </si>
  <si>
    <t>IBVS 0225 </t>
  </si>
  <si>
    <t>BAD?</t>
  </si>
  <si>
    <t>VSX</t>
  </si>
  <si>
    <t>VSB-64</t>
  </si>
  <si>
    <t>B</t>
  </si>
  <si>
    <t># data points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</si>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</sst>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trike/>
      <sz val="10"/>
      <name val="Arial Unicode MS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3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/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0" fillId="0" borderId="0" xfId="0" applyAlignment="1">
      <alignment horizontal="center" wrapText="1"/>
    </xf>
    <xf numFmtId="0" fontId="14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3" fillId="0" borderId="0" xfId="0" applyFont="1">
      <alignment vertical="top"/>
    </xf>
    <xf numFmtId="0" fontId="15" fillId="0" borderId="0" xfId="0" applyFont="1">
      <alignment vertical="top"/>
    </xf>
    <xf numFmtId="22" fontId="12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1" xfId="0" applyBorder="1" applyAlignment="1"/>
    <xf numFmtId="0" fontId="0" fillId="3" borderId="0" xfId="0" applyFill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5" xfId="0" applyFont="1" applyBorder="1" applyAlignment="1">
      <alignment horizontal="center"/>
    </xf>
    <xf numFmtId="0" fontId="22" fillId="4" borderId="0" xfId="0" applyFont="1" applyFill="1" applyAlignment="1"/>
    <xf numFmtId="0" fontId="0" fillId="0" borderId="5" xfId="0" applyBorder="1" applyAlignment="1">
      <alignment horizontal="left"/>
    </xf>
    <xf numFmtId="0" fontId="12" fillId="5" borderId="0" xfId="0" applyFont="1" applyFill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66" fontId="26" fillId="0" borderId="0" xfId="0" applyNumberFormat="1" applyFont="1" applyAlignment="1">
      <alignment vertical="center" wrapText="1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/>
      <protection locked="0"/>
    </xf>
    <xf numFmtId="166" fontId="26" fillId="0" borderId="0" xfId="0" applyNumberFormat="1" applyFont="1" applyAlignment="1" applyProtection="1">
      <alignment vertical="center" wrapText="1"/>
      <protection locked="0"/>
    </xf>
    <xf numFmtId="0" fontId="22" fillId="0" borderId="0" xfId="0" applyFont="1" applyFill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Cet - O-C Diagr.</a:t>
            </a:r>
          </a:p>
        </c:rich>
      </c:tx>
      <c:layout>
        <c:manualLayout>
          <c:xMode val="edge"/>
          <c:yMode val="edge"/>
          <c:x val="0.3828759450302960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Active!$H$21:$H$959</c:f>
              <c:numCache>
                <c:formatCode>General</c:formatCode>
                <c:ptCount val="939"/>
                <c:pt idx="0">
                  <c:v>0.18707225984326215</c:v>
                </c:pt>
                <c:pt idx="1">
                  <c:v>0.27818875984667102</c:v>
                </c:pt>
                <c:pt idx="2">
                  <c:v>0.14247649984463351</c:v>
                </c:pt>
                <c:pt idx="3">
                  <c:v>0.17318017984507605</c:v>
                </c:pt>
                <c:pt idx="4">
                  <c:v>0.2171801798431261</c:v>
                </c:pt>
                <c:pt idx="5">
                  <c:v>0.17382677984278416</c:v>
                </c:pt>
                <c:pt idx="6">
                  <c:v>6.6539219842525199E-2</c:v>
                </c:pt>
                <c:pt idx="7">
                  <c:v>0.10253921984258341</c:v>
                </c:pt>
                <c:pt idx="8">
                  <c:v>8.3304299841984175E-2</c:v>
                </c:pt>
                <c:pt idx="9">
                  <c:v>3.6596859841665719E-2</c:v>
                </c:pt>
                <c:pt idx="10">
                  <c:v>-3.0895660151145421E-2</c:v>
                </c:pt>
                <c:pt idx="11">
                  <c:v>0.14351403984619537</c:v>
                </c:pt>
                <c:pt idx="12">
                  <c:v>2.1101219848787878E-2</c:v>
                </c:pt>
                <c:pt idx="13">
                  <c:v>-1.5170780156040564E-2</c:v>
                </c:pt>
                <c:pt idx="14">
                  <c:v>1.1850419839902315E-2</c:v>
                </c:pt>
                <c:pt idx="15">
                  <c:v>2.2546598484041169E-3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4-4B4A-ABE8-F4E06EEB9D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Active!$I$21:$I$959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4-4B4A-ABE8-F4E06EEB9D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Active!$J$21:$J$959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4-4B4A-ABE8-F4E06EEB9D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Active!$K$21:$K$959</c:f>
              <c:numCache>
                <c:formatCode>General</c:formatCode>
                <c:ptCount val="939"/>
                <c:pt idx="16">
                  <c:v>-0.17545878015516791</c:v>
                </c:pt>
                <c:pt idx="17">
                  <c:v>-0.18827994015009608</c:v>
                </c:pt>
                <c:pt idx="18">
                  <c:v>-0.19676788015931379</c:v>
                </c:pt>
                <c:pt idx="19">
                  <c:v>-0.1988457801489858</c:v>
                </c:pt>
                <c:pt idx="20">
                  <c:v>-0.19918190015596338</c:v>
                </c:pt>
                <c:pt idx="21">
                  <c:v>-0.19586728015565313</c:v>
                </c:pt>
                <c:pt idx="22">
                  <c:v>-0.21041192016127752</c:v>
                </c:pt>
                <c:pt idx="23">
                  <c:v>-0.21242396015441045</c:v>
                </c:pt>
                <c:pt idx="24">
                  <c:v>-0.21970742015400901</c:v>
                </c:pt>
                <c:pt idx="25">
                  <c:v>-0.24083222015906358</c:v>
                </c:pt>
                <c:pt idx="26">
                  <c:v>-0.23875706014950993</c:v>
                </c:pt>
                <c:pt idx="27">
                  <c:v>-0.23875706014950993</c:v>
                </c:pt>
                <c:pt idx="28">
                  <c:v>-0.24959780015342403</c:v>
                </c:pt>
                <c:pt idx="29">
                  <c:v>-0.2484978001593845</c:v>
                </c:pt>
                <c:pt idx="30">
                  <c:v>-0.24779780015524011</c:v>
                </c:pt>
                <c:pt idx="31">
                  <c:v>-0.26372101994638797</c:v>
                </c:pt>
                <c:pt idx="32">
                  <c:v>-0.26774953992571682</c:v>
                </c:pt>
                <c:pt idx="33">
                  <c:v>-0.26724954030942172</c:v>
                </c:pt>
                <c:pt idx="34">
                  <c:v>-0.26624954014550894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F4-4B4A-ABE8-F4E06EEB9D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Active!$L$21:$L$959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F4-4B4A-ABE8-F4E06EEB9D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F4-4B4A-ABE8-F4E06EEB9D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F4-4B4A-ABE8-F4E06EEB9D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Active!$O$21:$O$959</c:f>
              <c:numCache>
                <c:formatCode>General</c:formatCode>
                <c:ptCount val="939"/>
                <c:pt idx="0">
                  <c:v>0.19960899126513165</c:v>
                </c:pt>
                <c:pt idx="1">
                  <c:v>0.19946312098566843</c:v>
                </c:pt>
                <c:pt idx="2">
                  <c:v>0.19865208223185304</c:v>
                </c:pt>
                <c:pt idx="3">
                  <c:v>0.1983720112952837</c:v>
                </c:pt>
                <c:pt idx="4">
                  <c:v>0.1983720112952837</c:v>
                </c:pt>
                <c:pt idx="5">
                  <c:v>0.19831366318349841</c:v>
                </c:pt>
                <c:pt idx="6">
                  <c:v>6.4498103615133751E-2</c:v>
                </c:pt>
                <c:pt idx="7">
                  <c:v>6.4498103615133751E-2</c:v>
                </c:pt>
                <c:pt idx="8">
                  <c:v>4.21040983119427E-2</c:v>
                </c:pt>
                <c:pt idx="9">
                  <c:v>3.4425486800999661E-2</c:v>
                </c:pt>
                <c:pt idx="10">
                  <c:v>3.1636447057663192E-2</c:v>
                </c:pt>
                <c:pt idx="11">
                  <c:v>3.1373880554629419E-2</c:v>
                </c:pt>
                <c:pt idx="12">
                  <c:v>3.123967989752327E-2</c:v>
                </c:pt>
                <c:pt idx="13">
                  <c:v>2.6571830954700754E-2</c:v>
                </c:pt>
                <c:pt idx="14">
                  <c:v>2.1787285788307686E-2</c:v>
                </c:pt>
                <c:pt idx="15">
                  <c:v>2.0830376755029051E-2</c:v>
                </c:pt>
                <c:pt idx="16">
                  <c:v>-0.16714390017243388</c:v>
                </c:pt>
                <c:pt idx="17">
                  <c:v>-0.17282700626032033</c:v>
                </c:pt>
                <c:pt idx="18">
                  <c:v>-0.17802582302038891</c:v>
                </c:pt>
                <c:pt idx="19">
                  <c:v>-0.18494007426694475</c:v>
                </c:pt>
                <c:pt idx="20">
                  <c:v>-0.18504510086815826</c:v>
                </c:pt>
                <c:pt idx="21">
                  <c:v>-0.18917031237137766</c:v>
                </c:pt>
                <c:pt idx="22">
                  <c:v>-0.20606792554439521</c:v>
                </c:pt>
                <c:pt idx="23">
                  <c:v>-0.20610293441146638</c:v>
                </c:pt>
                <c:pt idx="24">
                  <c:v>-0.21671645594520908</c:v>
                </c:pt>
                <c:pt idx="25">
                  <c:v>-0.23258714235080566</c:v>
                </c:pt>
                <c:pt idx="26">
                  <c:v>-0.2379901775021227</c:v>
                </c:pt>
                <c:pt idx="27">
                  <c:v>-0.2379901775021227</c:v>
                </c:pt>
                <c:pt idx="28">
                  <c:v>-0.25439183172496538</c:v>
                </c:pt>
                <c:pt idx="29">
                  <c:v>-0.25439183172496538</c:v>
                </c:pt>
                <c:pt idx="30">
                  <c:v>-0.25439183172496538</c:v>
                </c:pt>
                <c:pt idx="31">
                  <c:v>-0.27529796017763175</c:v>
                </c:pt>
                <c:pt idx="32">
                  <c:v>-0.28042092439237942</c:v>
                </c:pt>
                <c:pt idx="33">
                  <c:v>-0.28042092439237942</c:v>
                </c:pt>
                <c:pt idx="34">
                  <c:v>-0.28042092439237942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F4-4B4A-ABE8-F4E06EEB9D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  <c:pt idx="32">
                  <c:v>9065.5</c:v>
                </c:pt>
                <c:pt idx="33">
                  <c:v>9065.5</c:v>
                </c:pt>
                <c:pt idx="34">
                  <c:v>9065.5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F4-4B4A-ABE8-F4E06EEB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119208"/>
        <c:axId val="1"/>
      </c:scatterChart>
      <c:valAx>
        <c:axId val="89611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939632545931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800071287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119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121512588704191"/>
          <c:w val="0.77706045225768428"/>
          <c:h val="6.0606266809241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66564" name="Chart 1">
          <a:extLst>
            <a:ext uri="{FF2B5EF4-FFF2-40B4-BE49-F238E27FC236}">
              <a16:creationId xmlns:a16="http://schemas.microsoft.com/office/drawing/2014/main" id="{EC5E8B55-08F4-7046-A14F-C1B041DF2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25" TargetMode="External"/><Relationship Id="rId13" Type="http://schemas.openxmlformats.org/officeDocument/2006/relationships/hyperlink" Target="http://www.konkoly.hu/cgi-bin/IBVS?225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konkoly.hu/cgi-bin/IBVS?225" TargetMode="External"/><Relationship Id="rId21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konkoly.hu/cgi-bin/IBVS?225" TargetMode="External"/><Relationship Id="rId12" Type="http://schemas.openxmlformats.org/officeDocument/2006/relationships/hyperlink" Target="http://www.konkoly.hu/cgi-bin/IBVS?225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25" TargetMode="External"/><Relationship Id="rId16" Type="http://schemas.openxmlformats.org/officeDocument/2006/relationships/hyperlink" Target="http://www.konkoly.hu/cgi-bin/IBVS?225" TargetMode="External"/><Relationship Id="rId20" Type="http://schemas.openxmlformats.org/officeDocument/2006/relationships/hyperlink" Target="http://www.konkoly.hu/cgi-bin/IBVS?5677" TargetMode="External"/><Relationship Id="rId1" Type="http://schemas.openxmlformats.org/officeDocument/2006/relationships/hyperlink" Target="http://www.konkoly.hu/cgi-bin/IBVS?225" TargetMode="External"/><Relationship Id="rId6" Type="http://schemas.openxmlformats.org/officeDocument/2006/relationships/hyperlink" Target="http://www.konkoly.hu/cgi-bin/IBVS?225" TargetMode="External"/><Relationship Id="rId11" Type="http://schemas.openxmlformats.org/officeDocument/2006/relationships/hyperlink" Target="http://www.konkoly.hu/cgi-bin/IBVS?225" TargetMode="External"/><Relationship Id="rId24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225" TargetMode="External"/><Relationship Id="rId15" Type="http://schemas.openxmlformats.org/officeDocument/2006/relationships/hyperlink" Target="http://www.konkoly.hu/cgi-bin/IBVS?225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225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konkoly.hu/cgi-bin/IBVS?225" TargetMode="External"/><Relationship Id="rId9" Type="http://schemas.openxmlformats.org/officeDocument/2006/relationships/hyperlink" Target="http://www.konkoly.hu/cgi-bin/IBVS?225" TargetMode="External"/><Relationship Id="rId14" Type="http://schemas.openxmlformats.org/officeDocument/2006/relationships/hyperlink" Target="http://www.konkoly.hu/cgi-bin/IBVS?225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31</v>
      </c>
    </row>
    <row r="2" spans="1:6">
      <c r="A2" t="s">
        <v>24</v>
      </c>
      <c r="B2" s="11" t="s">
        <v>27</v>
      </c>
    </row>
    <row r="3" spans="1:6" ht="13.5" thickBot="1">
      <c r="C3" s="20"/>
    </row>
    <row r="4" spans="1:6" ht="13.5" thickBot="1">
      <c r="A4" s="8" t="s">
        <v>1</v>
      </c>
      <c r="C4" s="14">
        <v>27333.5</v>
      </c>
      <c r="D4" s="15">
        <v>1.1174550000000001</v>
      </c>
    </row>
    <row r="5" spans="1:6">
      <c r="A5" s="49" t="s">
        <v>36</v>
      </c>
      <c r="B5" s="23"/>
      <c r="C5" s="50">
        <v>-9.5</v>
      </c>
      <c r="D5" s="51" t="s">
        <v>37</v>
      </c>
    </row>
    <row r="6" spans="1:6">
      <c r="A6" s="8" t="s">
        <v>2</v>
      </c>
      <c r="C6" s="18"/>
    </row>
    <row r="7" spans="1:6">
      <c r="A7" t="s">
        <v>3</v>
      </c>
      <c r="C7" s="12">
        <v>52683.346400000155</v>
      </c>
    </row>
    <row r="8" spans="1:6">
      <c r="A8" t="s">
        <v>4</v>
      </c>
      <c r="C8">
        <v>0.79047067999999998</v>
      </c>
      <c r="D8" s="56" t="s">
        <v>175</v>
      </c>
    </row>
    <row r="9" spans="1:6">
      <c r="A9" s="52" t="s">
        <v>41</v>
      </c>
      <c r="B9" s="31">
        <v>21</v>
      </c>
      <c r="C9" s="26" t="str">
        <f>"F"&amp;B9</f>
        <v>F21</v>
      </c>
      <c r="D9" s="53" t="str">
        <f>"G"&amp;B9</f>
        <v>G21</v>
      </c>
    </row>
    <row r="10" spans="1:6" ht="13.5" thickBot="1">
      <c r="C10" s="7" t="s">
        <v>19</v>
      </c>
      <c r="D10" s="7" t="s">
        <v>20</v>
      </c>
    </row>
    <row r="11" spans="1:6">
      <c r="A11" t="s">
        <v>15</v>
      </c>
      <c r="C11" s="25">
        <f ca="1">INTERCEPT(INDIRECT($D$9):G970,INDIRECT($C$9):F970)</f>
        <v>-0.17462996291448551</v>
      </c>
      <c r="D11" s="6"/>
    </row>
    <row r="12" spans="1:6">
      <c r="A12" t="s">
        <v>16</v>
      </c>
      <c r="C12" s="25">
        <f ca="1">SLOPE(INDIRECT($D$9):G970,INDIRECT($C$9):F970)</f>
        <v>-1.1669622357056305E-5</v>
      </c>
      <c r="D12" s="6"/>
    </row>
    <row r="13" spans="1:6">
      <c r="A13" t="s">
        <v>18</v>
      </c>
      <c r="C13" s="6"/>
      <c r="D13" s="6"/>
    </row>
    <row r="14" spans="1:6">
      <c r="A14" t="s">
        <v>23</v>
      </c>
    </row>
    <row r="15" spans="1:6">
      <c r="A15" s="3" t="s">
        <v>17</v>
      </c>
      <c r="C15" s="16">
        <v>53381.528400000003</v>
      </c>
      <c r="E15" s="28" t="s">
        <v>171</v>
      </c>
      <c r="F15" s="24">
        <v>1</v>
      </c>
    </row>
    <row r="16" spans="1:6">
      <c r="A16" s="8" t="s">
        <v>5</v>
      </c>
      <c r="C16">
        <f ca="1">+C8+C12</f>
        <v>0.79045901037764288</v>
      </c>
      <c r="E16" s="28" t="s">
        <v>38</v>
      </c>
      <c r="F16" s="29">
        <f ca="1">NOW()+15018.5+$C$5/24</f>
        <v>60175.831089583327</v>
      </c>
    </row>
    <row r="17" spans="1:21" ht="13.5" thickBot="1">
      <c r="A17" t="s">
        <v>178</v>
      </c>
      <c r="C17">
        <f>COUNT(C21:C2189)</f>
        <v>35</v>
      </c>
      <c r="E17" s="28" t="s">
        <v>172</v>
      </c>
      <c r="F17" s="29">
        <f ca="1">ROUND(2*(F16-$C$7)/$C$8,0)/2+F15</f>
        <v>9479.5</v>
      </c>
      <c r="Q17" t="s">
        <v>33</v>
      </c>
    </row>
    <row r="18" spans="1:21">
      <c r="A18" s="8" t="s">
        <v>6</v>
      </c>
      <c r="C18" s="4">
        <f>+C15</f>
        <v>53381.528400000003</v>
      </c>
      <c r="D18" s="5">
        <f ca="1">+C16</f>
        <v>0.79045901037764288</v>
      </c>
      <c r="E18" s="28" t="s">
        <v>39</v>
      </c>
      <c r="F18" s="27">
        <f ca="1">ROUND(2*(F16-$C$15)/$C$16,0)/2+F15</f>
        <v>8596.5</v>
      </c>
      <c r="Q18" t="s">
        <v>34</v>
      </c>
    </row>
    <row r="19" spans="1:21" ht="13.5" thickTop="1">
      <c r="C19">
        <f>COUNT(C21:C2713)</f>
        <v>35</v>
      </c>
      <c r="E19" s="28" t="s">
        <v>40</v>
      </c>
      <c r="F19" s="30">
        <f ca="1">+$C$15+$C$16*F18-15018.5-$C$5/24</f>
        <v>45158.605116044746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61" t="s">
        <v>12</v>
      </c>
      <c r="H20" s="10" t="s">
        <v>50</v>
      </c>
      <c r="I20" s="10" t="s">
        <v>53</v>
      </c>
      <c r="J20" s="10" t="s">
        <v>47</v>
      </c>
      <c r="K20" s="10" t="s">
        <v>45</v>
      </c>
      <c r="L20" s="10" t="s">
        <v>25</v>
      </c>
      <c r="M20" s="10" t="s">
        <v>26</v>
      </c>
      <c r="N20" s="10" t="s">
        <v>29</v>
      </c>
      <c r="O20" s="10" t="s">
        <v>22</v>
      </c>
      <c r="P20" s="9" t="s">
        <v>21</v>
      </c>
      <c r="Q20" s="7" t="s">
        <v>14</v>
      </c>
      <c r="R20" s="6"/>
      <c r="U20" s="59" t="s">
        <v>174</v>
      </c>
    </row>
    <row r="21" spans="1:21">
      <c r="A21" s="47" t="s">
        <v>173</v>
      </c>
      <c r="B21" s="48" t="s">
        <v>28</v>
      </c>
      <c r="C21" s="47">
        <v>27333.534</v>
      </c>
      <c r="D21" s="47" t="s">
        <v>53</v>
      </c>
      <c r="E21">
        <f t="shared" ref="E21:E51" si="0">+(C21-C$7)/C$8</f>
        <v>-32069.263340672111</v>
      </c>
      <c r="F21">
        <f>ROUND(2*E21,0)/2</f>
        <v>-32069.5</v>
      </c>
      <c r="G21" s="13">
        <f t="shared" ref="G21:G29" si="1">+C21-(C$7+F21*C$8)</f>
        <v>0.18707225984326215</v>
      </c>
      <c r="H21">
        <f t="shared" ref="H21:H29" si="2">+G21</f>
        <v>0.18707225984326215</v>
      </c>
      <c r="O21">
        <f t="shared" ref="O21:O51" ca="1" si="3">+C$11+C$12*$F21</f>
        <v>0.19960899126513165</v>
      </c>
      <c r="Q21" s="2">
        <f t="shared" ref="Q21:Q51" si="4">+C21-15018.5</f>
        <v>12315.034</v>
      </c>
      <c r="R21" s="2"/>
    </row>
    <row r="22" spans="1:21">
      <c r="A22" s="47" t="s">
        <v>173</v>
      </c>
      <c r="B22" s="48" t="s">
        <v>28</v>
      </c>
      <c r="C22" s="47">
        <v>27343.506000000001</v>
      </c>
      <c r="D22" s="47" t="s">
        <v>53</v>
      </c>
      <c r="E22">
        <f t="shared" si="0"/>
        <v>-32056.648072007116</v>
      </c>
      <c r="F22" s="62">
        <f>ROUND(2*E22,0)/2-0.5</f>
        <v>-32057</v>
      </c>
      <c r="G22" s="13">
        <f t="shared" si="1"/>
        <v>0.27818875984667102</v>
      </c>
      <c r="H22">
        <f t="shared" si="2"/>
        <v>0.27818875984667102</v>
      </c>
      <c r="O22">
        <f t="shared" ca="1" si="3"/>
        <v>0.19946312098566843</v>
      </c>
      <c r="Q22" s="2">
        <f t="shared" si="4"/>
        <v>12325.006000000001</v>
      </c>
      <c r="R22" s="2"/>
    </row>
    <row r="23" spans="1:21">
      <c r="A23" s="47" t="s">
        <v>173</v>
      </c>
      <c r="B23" s="48" t="s">
        <v>28</v>
      </c>
      <c r="C23" s="47">
        <v>27398.308000000001</v>
      </c>
      <c r="D23" s="47" t="s">
        <v>53</v>
      </c>
      <c r="E23">
        <f t="shared" si="0"/>
        <v>-31987.319757388286</v>
      </c>
      <c r="F23">
        <f>ROUND(2*E23,0)/2</f>
        <v>-31987.5</v>
      </c>
      <c r="G23" s="13">
        <f t="shared" si="1"/>
        <v>0.14247649984463351</v>
      </c>
      <c r="H23">
        <f t="shared" si="2"/>
        <v>0.14247649984463351</v>
      </c>
      <c r="O23">
        <f t="shared" ca="1" si="3"/>
        <v>0.19865208223185304</v>
      </c>
      <c r="Q23" s="2">
        <f t="shared" si="4"/>
        <v>12379.808000000001</v>
      </c>
      <c r="R23" s="2"/>
    </row>
    <row r="24" spans="1:21">
      <c r="A24" s="47" t="s">
        <v>173</v>
      </c>
      <c r="B24" s="48" t="s">
        <v>28</v>
      </c>
      <c r="C24" s="47">
        <v>27417.31</v>
      </c>
      <c r="D24" s="47" t="s">
        <v>53</v>
      </c>
      <c r="E24">
        <f t="shared" si="0"/>
        <v>-31963.280915112697</v>
      </c>
      <c r="F24">
        <f>ROUND(2*E24,0)/2</f>
        <v>-31963.5</v>
      </c>
      <c r="G24" s="13">
        <f t="shared" si="1"/>
        <v>0.17318017984507605</v>
      </c>
      <c r="H24">
        <f t="shared" si="2"/>
        <v>0.17318017984507605</v>
      </c>
      <c r="O24">
        <f t="shared" ca="1" si="3"/>
        <v>0.1983720112952837</v>
      </c>
      <c r="Q24" s="2">
        <f t="shared" si="4"/>
        <v>12398.810000000001</v>
      </c>
      <c r="R24" s="2"/>
    </row>
    <row r="25" spans="1:21">
      <c r="A25" s="47" t="s">
        <v>173</v>
      </c>
      <c r="B25" s="48" t="s">
        <v>28</v>
      </c>
      <c r="C25" s="47">
        <v>27417.353999999999</v>
      </c>
      <c r="D25" s="47" t="s">
        <v>53</v>
      </c>
      <c r="E25">
        <f t="shared" si="0"/>
        <v>-31963.225252074062</v>
      </c>
      <c r="F25" s="62">
        <f>ROUND(2*E25,0)/2-0.5</f>
        <v>-31963.5</v>
      </c>
      <c r="G25" s="13">
        <f t="shared" si="1"/>
        <v>0.2171801798431261</v>
      </c>
      <c r="H25">
        <f t="shared" si="2"/>
        <v>0.2171801798431261</v>
      </c>
      <c r="O25">
        <f t="shared" ca="1" si="3"/>
        <v>0.1983720112952837</v>
      </c>
      <c r="Q25" s="2">
        <f t="shared" si="4"/>
        <v>12398.853999999999</v>
      </c>
      <c r="R25" s="2"/>
    </row>
    <row r="26" spans="1:21">
      <c r="A26" s="47" t="s">
        <v>173</v>
      </c>
      <c r="B26" s="48" t="s">
        <v>30</v>
      </c>
      <c r="C26" s="47">
        <v>27421.262999999999</v>
      </c>
      <c r="D26" s="47" t="s">
        <v>53</v>
      </c>
      <c r="E26">
        <f t="shared" si="0"/>
        <v>-31958.280097119045</v>
      </c>
      <c r="F26">
        <f t="shared" ref="F26:F39" si="5">ROUND(2*E26,0)/2</f>
        <v>-31958.5</v>
      </c>
      <c r="G26" s="13">
        <f t="shared" si="1"/>
        <v>0.17382677984278416</v>
      </c>
      <c r="H26">
        <f t="shared" si="2"/>
        <v>0.17382677984278416</v>
      </c>
      <c r="O26">
        <f t="shared" ca="1" si="3"/>
        <v>0.19831366318349841</v>
      </c>
      <c r="Q26" s="2">
        <f t="shared" si="4"/>
        <v>12402.762999999999</v>
      </c>
      <c r="R26" s="2"/>
    </row>
    <row r="27" spans="1:21">
      <c r="A27" s="47" t="s">
        <v>173</v>
      </c>
      <c r="B27" s="48" t="s">
        <v>28</v>
      </c>
      <c r="C27" s="47">
        <v>36485.483</v>
      </c>
      <c r="D27" s="47" t="s">
        <v>53</v>
      </c>
      <c r="E27" s="54">
        <f t="shared" si="0"/>
        <v>-20491.415823291707</v>
      </c>
      <c r="F27">
        <f t="shared" si="5"/>
        <v>-20491.5</v>
      </c>
      <c r="G27" s="13">
        <f t="shared" si="1"/>
        <v>6.6539219842525199E-2</v>
      </c>
      <c r="H27">
        <f t="shared" si="2"/>
        <v>6.6539219842525199E-2</v>
      </c>
      <c r="O27">
        <f t="shared" ca="1" si="3"/>
        <v>6.4498103615133751E-2</v>
      </c>
      <c r="Q27" s="2">
        <f t="shared" si="4"/>
        <v>21466.983</v>
      </c>
      <c r="R27" s="2"/>
    </row>
    <row r="28" spans="1:21">
      <c r="A28" s="47" t="s">
        <v>173</v>
      </c>
      <c r="B28" s="48" t="s">
        <v>28</v>
      </c>
      <c r="C28" s="47">
        <v>36485.519</v>
      </c>
      <c r="D28" s="47" t="s">
        <v>53</v>
      </c>
      <c r="E28" s="54">
        <f t="shared" si="0"/>
        <v>-20491.37028080555</v>
      </c>
      <c r="F28">
        <f t="shared" si="5"/>
        <v>-20491.5</v>
      </c>
      <c r="G28" s="13">
        <f t="shared" si="1"/>
        <v>0.10253921984258341</v>
      </c>
      <c r="H28">
        <f t="shared" si="2"/>
        <v>0.10253921984258341</v>
      </c>
      <c r="O28">
        <f t="shared" ca="1" si="3"/>
        <v>6.4498103615133751E-2</v>
      </c>
      <c r="Q28" s="2">
        <f t="shared" si="4"/>
        <v>21467.019</v>
      </c>
      <c r="R28" s="2"/>
    </row>
    <row r="29" spans="1:21">
      <c r="A29" s="47" t="s">
        <v>173</v>
      </c>
      <c r="B29" s="48" t="s">
        <v>30</v>
      </c>
      <c r="C29" s="47">
        <v>38002.413</v>
      </c>
      <c r="D29" s="47" t="s">
        <v>53</v>
      </c>
      <c r="E29" s="54">
        <f t="shared" si="0"/>
        <v>-18572.394614307712</v>
      </c>
      <c r="F29">
        <f t="shared" si="5"/>
        <v>-18572.5</v>
      </c>
      <c r="G29" s="13">
        <f t="shared" si="1"/>
        <v>8.3304299841984175E-2</v>
      </c>
      <c r="H29">
        <f t="shared" si="2"/>
        <v>8.3304299841984175E-2</v>
      </c>
      <c r="O29">
        <f t="shared" ca="1" si="3"/>
        <v>4.21040983119427E-2</v>
      </c>
      <c r="Q29" s="2">
        <f t="shared" si="4"/>
        <v>22983.913</v>
      </c>
      <c r="R29" s="2"/>
    </row>
    <row r="30" spans="1:21">
      <c r="A30" s="47" t="s">
        <v>173</v>
      </c>
      <c r="B30" s="48" t="s">
        <v>28</v>
      </c>
      <c r="C30" s="47">
        <v>38522.495999999999</v>
      </c>
      <c r="D30" s="47" t="s">
        <v>53</v>
      </c>
      <c r="E30" s="54">
        <f t="shared" si="0"/>
        <v>-17914.453702444924</v>
      </c>
      <c r="F30">
        <f t="shared" si="5"/>
        <v>-17914.5</v>
      </c>
      <c r="G30" s="13">
        <f t="shared" ref="G30:G51" si="6">+C30-(C$7+F30*C$8)</f>
        <v>3.6596859841665719E-2</v>
      </c>
      <c r="H30">
        <f t="shared" ref="H30:H36" si="7">+G30</f>
        <v>3.6596859841665719E-2</v>
      </c>
      <c r="O30">
        <f t="shared" ca="1" si="3"/>
        <v>3.4425486800999661E-2</v>
      </c>
      <c r="Q30" s="2">
        <f t="shared" si="4"/>
        <v>23503.995999999999</v>
      </c>
      <c r="R30" s="2"/>
    </row>
    <row r="31" spans="1:21">
      <c r="A31" s="47" t="s">
        <v>173</v>
      </c>
      <c r="B31" s="48" t="s">
        <v>28</v>
      </c>
      <c r="C31" s="47">
        <v>38711.351000000002</v>
      </c>
      <c r="D31" s="47" t="s">
        <v>53</v>
      </c>
      <c r="E31" s="54">
        <f t="shared" si="0"/>
        <v>-17675.539085143744</v>
      </c>
      <c r="F31">
        <f t="shared" si="5"/>
        <v>-17675.5</v>
      </c>
      <c r="G31" s="13">
        <f t="shared" si="6"/>
        <v>-3.0895660151145421E-2</v>
      </c>
      <c r="H31">
        <f t="shared" si="7"/>
        <v>-3.0895660151145421E-2</v>
      </c>
      <c r="O31">
        <f t="shared" ca="1" si="3"/>
        <v>3.1636447057663192E-2</v>
      </c>
      <c r="Q31" s="2">
        <f t="shared" si="4"/>
        <v>23692.851000000002</v>
      </c>
      <c r="R31" s="2"/>
    </row>
    <row r="32" spans="1:21">
      <c r="A32" s="47" t="s">
        <v>173</v>
      </c>
      <c r="B32" s="48" t="s">
        <v>28</v>
      </c>
      <c r="C32" s="47">
        <v>38729.311000000002</v>
      </c>
      <c r="D32" s="47" t="s">
        <v>53</v>
      </c>
      <c r="E32">
        <f t="shared" si="0"/>
        <v>-17652.818444828536</v>
      </c>
      <c r="F32">
        <f t="shared" si="5"/>
        <v>-17653</v>
      </c>
      <c r="G32" s="13">
        <f t="shared" si="6"/>
        <v>0.14351403984619537</v>
      </c>
      <c r="H32">
        <f t="shared" si="7"/>
        <v>0.14351403984619537</v>
      </c>
      <c r="O32">
        <f t="shared" ca="1" si="3"/>
        <v>3.1373880554629419E-2</v>
      </c>
      <c r="Q32" s="2">
        <f t="shared" si="4"/>
        <v>23710.811000000002</v>
      </c>
      <c r="R32" s="2"/>
    </row>
    <row r="33" spans="1:18">
      <c r="A33" s="47" t="s">
        <v>173</v>
      </c>
      <c r="B33" s="48" t="s">
        <v>28</v>
      </c>
      <c r="C33" s="47">
        <v>38738.279000000002</v>
      </c>
      <c r="D33" s="47" t="s">
        <v>53</v>
      </c>
      <c r="E33">
        <f t="shared" si="0"/>
        <v>-17641.473305499647</v>
      </c>
      <c r="F33">
        <f t="shared" si="5"/>
        <v>-17641.5</v>
      </c>
      <c r="G33" s="13">
        <f t="shared" si="6"/>
        <v>2.1101219848787878E-2</v>
      </c>
      <c r="H33">
        <f t="shared" si="7"/>
        <v>2.1101219848787878E-2</v>
      </c>
      <c r="O33">
        <f t="shared" ca="1" si="3"/>
        <v>3.123967989752327E-2</v>
      </c>
      <c r="Q33" s="2">
        <f t="shared" si="4"/>
        <v>23719.779000000002</v>
      </c>
      <c r="R33" s="2"/>
    </row>
    <row r="34" spans="1:18">
      <c r="A34" s="47" t="s">
        <v>173</v>
      </c>
      <c r="B34" s="48" t="s">
        <v>28</v>
      </c>
      <c r="C34" s="47">
        <v>39054.430999999997</v>
      </c>
      <c r="D34" s="47" t="s">
        <v>53</v>
      </c>
      <c r="E34">
        <f t="shared" si="0"/>
        <v>-17241.519192084594</v>
      </c>
      <c r="F34">
        <f t="shared" si="5"/>
        <v>-17241.5</v>
      </c>
      <c r="G34" s="13">
        <f t="shared" si="6"/>
        <v>-1.5170780156040564E-2</v>
      </c>
      <c r="H34">
        <f t="shared" si="7"/>
        <v>-1.5170780156040564E-2</v>
      </c>
      <c r="O34">
        <f t="shared" ca="1" si="3"/>
        <v>2.6571830954700754E-2</v>
      </c>
      <c r="Q34" s="2">
        <f t="shared" si="4"/>
        <v>24035.930999999997</v>
      </c>
      <c r="R34" s="2"/>
    </row>
    <row r="35" spans="1:18">
      <c r="A35" s="47" t="s">
        <v>173</v>
      </c>
      <c r="B35" s="48" t="s">
        <v>28</v>
      </c>
      <c r="C35" s="47">
        <v>39378.550999999999</v>
      </c>
      <c r="D35" s="47" t="s">
        <v>53</v>
      </c>
      <c r="E35">
        <f t="shared" si="0"/>
        <v>-16831.485008400508</v>
      </c>
      <c r="F35">
        <f t="shared" si="5"/>
        <v>-16831.5</v>
      </c>
      <c r="G35" s="13">
        <f t="shared" si="6"/>
        <v>1.1850419839902315E-2</v>
      </c>
      <c r="H35">
        <f t="shared" si="7"/>
        <v>1.1850419839902315E-2</v>
      </c>
      <c r="O35">
        <f t="shared" ca="1" si="3"/>
        <v>2.1787285788307686E-2</v>
      </c>
      <c r="Q35" s="2">
        <f t="shared" si="4"/>
        <v>24360.050999999999</v>
      </c>
      <c r="R35" s="2"/>
    </row>
    <row r="36" spans="1:18">
      <c r="A36" s="47" t="s">
        <v>173</v>
      </c>
      <c r="B36" s="48" t="s">
        <v>28</v>
      </c>
      <c r="C36" s="47">
        <v>39443.360000000001</v>
      </c>
      <c r="D36" s="47" t="s">
        <v>53</v>
      </c>
      <c r="E36">
        <f t="shared" si="0"/>
        <v>-16749.497147699589</v>
      </c>
      <c r="F36">
        <f t="shared" si="5"/>
        <v>-16749.5</v>
      </c>
      <c r="G36" s="13">
        <f t="shared" si="6"/>
        <v>2.2546598484041169E-3</v>
      </c>
      <c r="H36">
        <f t="shared" si="7"/>
        <v>2.2546598484041169E-3</v>
      </c>
      <c r="O36">
        <f t="shared" ca="1" si="3"/>
        <v>2.0830376755029051E-2</v>
      </c>
      <c r="Q36" s="2">
        <f t="shared" si="4"/>
        <v>24424.86</v>
      </c>
      <c r="R36" s="2"/>
    </row>
    <row r="37" spans="1:18">
      <c r="A37" s="47" t="s">
        <v>112</v>
      </c>
      <c r="B37" s="48" t="s">
        <v>30</v>
      </c>
      <c r="C37" s="47">
        <v>52176.084000000003</v>
      </c>
      <c r="D37" s="47" t="s">
        <v>53</v>
      </c>
      <c r="E37">
        <f t="shared" si="0"/>
        <v>-641.7219674740528</v>
      </c>
      <c r="F37">
        <f t="shared" si="5"/>
        <v>-641.5</v>
      </c>
      <c r="G37" s="13">
        <f t="shared" si="6"/>
        <v>-0.17545878015516791</v>
      </c>
      <c r="K37">
        <f t="shared" ref="K37:K51" si="8">+G37</f>
        <v>-0.17545878015516791</v>
      </c>
      <c r="O37">
        <f t="shared" ca="1" si="3"/>
        <v>-0.16714390017243388</v>
      </c>
      <c r="Q37" s="2">
        <f t="shared" si="4"/>
        <v>37157.584000000003</v>
      </c>
      <c r="R37" s="2"/>
    </row>
    <row r="38" spans="1:18">
      <c r="A38" s="47" t="s">
        <v>116</v>
      </c>
      <c r="B38" s="48" t="s">
        <v>28</v>
      </c>
      <c r="C38" s="47">
        <v>52561.030400000003</v>
      </c>
      <c r="D38" s="47" t="s">
        <v>53</v>
      </c>
      <c r="E38">
        <f t="shared" si="0"/>
        <v>-154.7381871268795</v>
      </c>
      <c r="F38">
        <f t="shared" si="5"/>
        <v>-154.5</v>
      </c>
      <c r="G38" s="13">
        <f t="shared" si="6"/>
        <v>-0.18827994015009608</v>
      </c>
      <c r="K38">
        <f t="shared" si="8"/>
        <v>-0.18827994015009608</v>
      </c>
      <c r="O38">
        <f t="shared" ca="1" si="3"/>
        <v>-0.17282700626032033</v>
      </c>
      <c r="Q38" s="2">
        <f t="shared" si="4"/>
        <v>37542.530400000003</v>
      </c>
      <c r="R38" s="2"/>
    </row>
    <row r="39" spans="1:18">
      <c r="A39" s="47" t="s">
        <v>120</v>
      </c>
      <c r="B39" s="48" t="s">
        <v>28</v>
      </c>
      <c r="C39" s="47">
        <v>52913.176599999999</v>
      </c>
      <c r="D39" s="47" t="s">
        <v>53</v>
      </c>
      <c r="E39">
        <f t="shared" si="0"/>
        <v>290.75107504283892</v>
      </c>
      <c r="F39">
        <f t="shared" si="5"/>
        <v>291</v>
      </c>
      <c r="G39" s="13">
        <f t="shared" si="6"/>
        <v>-0.19676788015931379</v>
      </c>
      <c r="K39">
        <f t="shared" si="8"/>
        <v>-0.19676788015931379</v>
      </c>
      <c r="O39">
        <f t="shared" ca="1" si="3"/>
        <v>-0.17802582302038891</v>
      </c>
      <c r="Q39" s="2">
        <f t="shared" si="4"/>
        <v>37894.676599999999</v>
      </c>
      <c r="R39" s="2"/>
    </row>
    <row r="40" spans="1:18">
      <c r="A40" s="17" t="s">
        <v>32</v>
      </c>
      <c r="B40" s="19" t="s">
        <v>28</v>
      </c>
      <c r="C40" s="22">
        <v>53381.528400000003</v>
      </c>
      <c r="D40" s="22">
        <v>1E-4</v>
      </c>
      <c r="E40" s="55">
        <f t="shared" si="0"/>
        <v>883.24844635584452</v>
      </c>
      <c r="F40" s="60">
        <f>ROUND(2*E40,0)/2+0.5</f>
        <v>883.5</v>
      </c>
      <c r="G40" s="13">
        <f t="shared" si="6"/>
        <v>-0.1988457801489858</v>
      </c>
      <c r="K40">
        <f t="shared" si="8"/>
        <v>-0.1988457801489858</v>
      </c>
      <c r="O40">
        <f t="shared" ca="1" si="3"/>
        <v>-0.18494007426694475</v>
      </c>
      <c r="Q40" s="2">
        <f t="shared" si="4"/>
        <v>38363.028400000003</v>
      </c>
      <c r="R40" s="2"/>
    </row>
    <row r="41" spans="1:18">
      <c r="A41" s="21" t="s">
        <v>35</v>
      </c>
      <c r="B41" s="19" t="s">
        <v>28</v>
      </c>
      <c r="C41" s="57">
        <v>53388.6423</v>
      </c>
      <c r="D41" s="22">
        <v>5.0000000000000001E-4</v>
      </c>
      <c r="E41" s="55">
        <f t="shared" si="0"/>
        <v>892.24802114082786</v>
      </c>
      <c r="F41" s="60">
        <f>ROUND(2*E41,0)/2+0.5</f>
        <v>892.5</v>
      </c>
      <c r="G41" s="13">
        <f t="shared" si="6"/>
        <v>-0.19918190015596338</v>
      </c>
      <c r="K41">
        <f t="shared" si="8"/>
        <v>-0.19918190015596338</v>
      </c>
      <c r="O41">
        <f t="shared" ca="1" si="3"/>
        <v>-0.18504510086815826</v>
      </c>
      <c r="Q41" s="2">
        <f t="shared" si="4"/>
        <v>38370.1423</v>
      </c>
      <c r="R41" s="2"/>
    </row>
    <row r="42" spans="1:18">
      <c r="A42" s="47" t="s">
        <v>134</v>
      </c>
      <c r="B42" s="48" t="s">
        <v>30</v>
      </c>
      <c r="C42" s="47">
        <v>53668.076999999997</v>
      </c>
      <c r="D42" s="47" t="s">
        <v>53</v>
      </c>
      <c r="E42">
        <f t="shared" si="0"/>
        <v>1245.7522143640326</v>
      </c>
      <c r="F42">
        <f>ROUND(2*E42,0)/2</f>
        <v>1246</v>
      </c>
      <c r="G42" s="13">
        <f t="shared" si="6"/>
        <v>-0.19586728015565313</v>
      </c>
      <c r="K42">
        <f t="shared" si="8"/>
        <v>-0.19586728015565313</v>
      </c>
      <c r="O42">
        <f t="shared" ca="1" si="3"/>
        <v>-0.18917031237137766</v>
      </c>
      <c r="Q42" s="2">
        <f t="shared" si="4"/>
        <v>38649.576999999997</v>
      </c>
      <c r="R42" s="2"/>
    </row>
    <row r="43" spans="1:18">
      <c r="A43" s="33" t="s">
        <v>42</v>
      </c>
      <c r="B43" s="32" t="s">
        <v>28</v>
      </c>
      <c r="C43" s="58">
        <v>54812.663999999997</v>
      </c>
      <c r="D43" s="33">
        <v>8.9999999999999998E-4</v>
      </c>
      <c r="E43" s="55">
        <f t="shared" si="0"/>
        <v>2693.733814389981</v>
      </c>
      <c r="F43" s="60">
        <f t="shared" ref="F43:F51" si="9">ROUND(2*E43,0)/2+0.5</f>
        <v>2694</v>
      </c>
      <c r="G43" s="13">
        <f t="shared" si="6"/>
        <v>-0.21041192016127752</v>
      </c>
      <c r="K43">
        <f t="shared" si="8"/>
        <v>-0.21041192016127752</v>
      </c>
      <c r="O43">
        <f t="shared" ca="1" si="3"/>
        <v>-0.20606792554439521</v>
      </c>
      <c r="Q43" s="2">
        <f t="shared" si="4"/>
        <v>39794.163999999997</v>
      </c>
      <c r="R43" s="2"/>
    </row>
    <row r="44" spans="1:18">
      <c r="A44" s="47" t="s">
        <v>154</v>
      </c>
      <c r="B44" s="48" t="s">
        <v>28</v>
      </c>
      <c r="C44" s="47">
        <v>54815.0334</v>
      </c>
      <c r="D44" s="47" t="s">
        <v>53</v>
      </c>
      <c r="E44">
        <f t="shared" si="0"/>
        <v>2696.731269020434</v>
      </c>
      <c r="F44" s="60">
        <f t="shared" si="9"/>
        <v>2697</v>
      </c>
      <c r="G44" s="13">
        <f t="shared" si="6"/>
        <v>-0.21242396015441045</v>
      </c>
      <c r="K44">
        <f t="shared" si="8"/>
        <v>-0.21242396015441045</v>
      </c>
      <c r="O44">
        <f t="shared" ca="1" si="3"/>
        <v>-0.20610293441146638</v>
      </c>
      <c r="Q44" s="2">
        <f t="shared" si="4"/>
        <v>39796.5334</v>
      </c>
      <c r="R44" s="2"/>
    </row>
    <row r="45" spans="1:18">
      <c r="A45" s="47" t="s">
        <v>160</v>
      </c>
      <c r="B45" s="48" t="s">
        <v>30</v>
      </c>
      <c r="C45" s="47">
        <v>55533.959199999998</v>
      </c>
      <c r="D45" s="47" t="s">
        <v>53</v>
      </c>
      <c r="E45">
        <f t="shared" si="0"/>
        <v>3606.2220549405356</v>
      </c>
      <c r="F45" s="60">
        <f t="shared" si="9"/>
        <v>3606.5</v>
      </c>
      <c r="G45" s="13">
        <f t="shared" si="6"/>
        <v>-0.21970742015400901</v>
      </c>
      <c r="K45">
        <f t="shared" si="8"/>
        <v>-0.21970742015400901</v>
      </c>
      <c r="O45">
        <f t="shared" ca="1" si="3"/>
        <v>-0.21671645594520908</v>
      </c>
      <c r="Q45" s="2">
        <f t="shared" si="4"/>
        <v>40515.459199999998</v>
      </c>
      <c r="R45" s="2"/>
    </row>
    <row r="46" spans="1:18">
      <c r="A46" s="47" t="s">
        <v>165</v>
      </c>
      <c r="B46" s="48" t="s">
        <v>30</v>
      </c>
      <c r="C46" s="47">
        <v>56608.978199999998</v>
      </c>
      <c r="D46" s="47" t="s">
        <v>53</v>
      </c>
      <c r="E46">
        <f t="shared" si="0"/>
        <v>4966.1953306096602</v>
      </c>
      <c r="F46" s="60">
        <f t="shared" si="9"/>
        <v>4966.5</v>
      </c>
      <c r="G46" s="13">
        <f t="shared" si="6"/>
        <v>-0.24083222015906358</v>
      </c>
      <c r="K46">
        <f t="shared" si="8"/>
        <v>-0.24083222015906358</v>
      </c>
      <c r="O46">
        <f t="shared" ca="1" si="3"/>
        <v>-0.23258714235080566</v>
      </c>
      <c r="Q46" s="2">
        <f t="shared" si="4"/>
        <v>41590.478199999998</v>
      </c>
      <c r="R46" s="2"/>
    </row>
    <row r="47" spans="1:18">
      <c r="A47" s="47" t="s">
        <v>170</v>
      </c>
      <c r="B47" s="48" t="s">
        <v>28</v>
      </c>
      <c r="C47" s="47">
        <v>56974.968200000003</v>
      </c>
      <c r="D47" s="47" t="s">
        <v>53</v>
      </c>
      <c r="E47">
        <f t="shared" si="0"/>
        <v>5429.1979558303774</v>
      </c>
      <c r="F47" s="60">
        <f t="shared" si="9"/>
        <v>5429.5</v>
      </c>
      <c r="G47" s="13">
        <f t="shared" si="6"/>
        <v>-0.23875706014950993</v>
      </c>
      <c r="K47">
        <f t="shared" si="8"/>
        <v>-0.23875706014950993</v>
      </c>
      <c r="O47">
        <f t="shared" ca="1" si="3"/>
        <v>-0.2379901775021227</v>
      </c>
      <c r="Q47" s="2">
        <f t="shared" si="4"/>
        <v>41956.468200000003</v>
      </c>
      <c r="R47" s="2"/>
    </row>
    <row r="48" spans="1:18">
      <c r="A48" s="67" t="s">
        <v>0</v>
      </c>
      <c r="B48" s="68" t="s">
        <v>28</v>
      </c>
      <c r="C48" s="67">
        <v>56974.968200000003</v>
      </c>
      <c r="D48" s="67" t="s">
        <v>159</v>
      </c>
      <c r="E48">
        <f t="shared" si="0"/>
        <v>5429.1979558303774</v>
      </c>
      <c r="F48" s="60">
        <f t="shared" si="9"/>
        <v>5429.5</v>
      </c>
      <c r="G48" s="13">
        <f t="shared" si="6"/>
        <v>-0.23875706014950993</v>
      </c>
      <c r="K48">
        <f t="shared" si="8"/>
        <v>-0.23875706014950993</v>
      </c>
      <c r="O48">
        <f t="shared" ca="1" si="3"/>
        <v>-0.2379901775021227</v>
      </c>
      <c r="Q48" s="2">
        <f t="shared" si="4"/>
        <v>41956.468200000003</v>
      </c>
    </row>
    <row r="49" spans="1:17">
      <c r="A49" s="63" t="s">
        <v>176</v>
      </c>
      <c r="B49" s="64" t="s">
        <v>30</v>
      </c>
      <c r="C49" s="65">
        <v>58085.963900000002</v>
      </c>
      <c r="D49" s="66" t="s">
        <v>52</v>
      </c>
      <c r="E49">
        <f t="shared" si="0"/>
        <v>6834.6842415456167</v>
      </c>
      <c r="F49" s="60">
        <f t="shared" si="9"/>
        <v>6835</v>
      </c>
      <c r="G49" s="13">
        <f t="shared" si="6"/>
        <v>-0.24959780015342403</v>
      </c>
      <c r="K49">
        <f t="shared" si="8"/>
        <v>-0.24959780015342403</v>
      </c>
      <c r="O49">
        <f t="shared" ca="1" si="3"/>
        <v>-0.25439183172496538</v>
      </c>
      <c r="Q49" s="2">
        <f t="shared" si="4"/>
        <v>43067.463900000002</v>
      </c>
    </row>
    <row r="50" spans="1:17">
      <c r="A50" s="63" t="s">
        <v>176</v>
      </c>
      <c r="B50" s="64" t="s">
        <v>30</v>
      </c>
      <c r="C50" s="65">
        <v>58085.964999999997</v>
      </c>
      <c r="D50" s="66" t="s">
        <v>159</v>
      </c>
      <c r="E50">
        <f t="shared" si="0"/>
        <v>6834.6856331215749</v>
      </c>
      <c r="F50" s="60">
        <f t="shared" si="9"/>
        <v>6835</v>
      </c>
      <c r="G50" s="13">
        <f t="shared" si="6"/>
        <v>-0.2484978001593845</v>
      </c>
      <c r="K50">
        <f t="shared" si="8"/>
        <v>-0.2484978001593845</v>
      </c>
      <c r="O50">
        <f t="shared" ca="1" si="3"/>
        <v>-0.25439183172496538</v>
      </c>
      <c r="Q50" s="2">
        <f t="shared" si="4"/>
        <v>43067.464999999997</v>
      </c>
    </row>
    <row r="51" spans="1:17">
      <c r="A51" s="63" t="s">
        <v>176</v>
      </c>
      <c r="B51" s="64" t="s">
        <v>30</v>
      </c>
      <c r="C51" s="65">
        <v>58085.965700000001</v>
      </c>
      <c r="D51" s="66" t="s">
        <v>177</v>
      </c>
      <c r="E51">
        <f t="shared" si="0"/>
        <v>6834.6865186699215</v>
      </c>
      <c r="F51" s="60">
        <f t="shared" si="9"/>
        <v>6835</v>
      </c>
      <c r="G51" s="13">
        <f t="shared" si="6"/>
        <v>-0.24779780015524011</v>
      </c>
      <c r="K51">
        <f t="shared" si="8"/>
        <v>-0.24779780015524011</v>
      </c>
      <c r="O51">
        <f t="shared" ca="1" si="3"/>
        <v>-0.25439183172496538</v>
      </c>
      <c r="Q51" s="2">
        <f t="shared" si="4"/>
        <v>43067.465700000001</v>
      </c>
    </row>
    <row r="52" spans="1:17">
      <c r="A52" s="69" t="s">
        <v>179</v>
      </c>
      <c r="B52" s="70" t="s">
        <v>28</v>
      </c>
      <c r="C52" s="71">
        <v>59502.078000000212</v>
      </c>
      <c r="D52" s="66" t="s">
        <v>159</v>
      </c>
      <c r="E52">
        <f t="shared" ref="E52" si="10">+(C52-C$7)/C$8</f>
        <v>8626.1663746972336</v>
      </c>
      <c r="F52" s="75">
        <f t="shared" ref="F52" si="11">ROUND(2*E52,0)/2+0.5</f>
        <v>8626.5</v>
      </c>
      <c r="G52" s="13">
        <f t="shared" ref="G52" si="12">+C52-(C$7+F52*C$8)</f>
        <v>-0.26372101994638797</v>
      </c>
      <c r="K52">
        <f t="shared" ref="K52" si="13">+G52</f>
        <v>-0.26372101994638797</v>
      </c>
      <c r="O52">
        <f t="shared" ref="O52" ca="1" si="14">+C$11+C$12*$F52</f>
        <v>-0.27529796017763175</v>
      </c>
      <c r="Q52" s="2">
        <f t="shared" ref="Q52" si="15">+C52-15018.5</f>
        <v>44483.578000000212</v>
      </c>
    </row>
    <row r="53" spans="1:17">
      <c r="A53" s="72" t="s">
        <v>180</v>
      </c>
      <c r="B53" s="73" t="s">
        <v>28</v>
      </c>
      <c r="C53" s="74">
        <v>59849.090600000229</v>
      </c>
      <c r="E53">
        <f t="shared" ref="E53:E55" si="16">+(C53-C$7)/C$8</f>
        <v>9065.1612783412456</v>
      </c>
      <c r="F53" s="75">
        <f t="shared" ref="F53:F55" si="17">ROUND(2*E53,0)/2+0.5</f>
        <v>9065.5</v>
      </c>
      <c r="G53" s="13">
        <f t="shared" ref="G53:G55" si="18">+C53-(C$7+F53*C$8)</f>
        <v>-0.26774953992571682</v>
      </c>
      <c r="K53">
        <f t="shared" ref="K53:K55" si="19">+G53</f>
        <v>-0.26774953992571682</v>
      </c>
      <c r="O53">
        <f t="shared" ref="O53:O55" ca="1" si="20">+C$11+C$12*$F53</f>
        <v>-0.28042092439237942</v>
      </c>
      <c r="Q53" s="2">
        <f t="shared" ref="Q53:Q55" si="21">+C53-15018.5</f>
        <v>44830.590600000229</v>
      </c>
    </row>
    <row r="54" spans="1:17">
      <c r="A54" s="72" t="s">
        <v>180</v>
      </c>
      <c r="B54" s="73" t="s">
        <v>28</v>
      </c>
      <c r="C54" s="74">
        <v>59849.091099999845</v>
      </c>
      <c r="E54">
        <f t="shared" si="16"/>
        <v>9065.1619108752911</v>
      </c>
      <c r="F54" s="75">
        <f t="shared" si="17"/>
        <v>9065.5</v>
      </c>
      <c r="G54" s="13">
        <f t="shared" si="18"/>
        <v>-0.26724954030942172</v>
      </c>
      <c r="K54">
        <f t="shared" si="19"/>
        <v>-0.26724954030942172</v>
      </c>
      <c r="O54">
        <f t="shared" ca="1" si="20"/>
        <v>-0.28042092439237942</v>
      </c>
      <c r="Q54" s="2">
        <f t="shared" si="21"/>
        <v>44830.591099999845</v>
      </c>
    </row>
    <row r="55" spans="1:17">
      <c r="A55" s="72" t="s">
        <v>180</v>
      </c>
      <c r="B55" s="73" t="s">
        <v>28</v>
      </c>
      <c r="C55" s="74">
        <v>59849.092100000009</v>
      </c>
      <c r="E55">
        <f t="shared" si="16"/>
        <v>9065.1631759445572</v>
      </c>
      <c r="F55" s="75">
        <f t="shared" si="17"/>
        <v>9065.5</v>
      </c>
      <c r="G55" s="13">
        <f t="shared" si="18"/>
        <v>-0.26624954014550894</v>
      </c>
      <c r="K55">
        <f t="shared" si="19"/>
        <v>-0.26624954014550894</v>
      </c>
      <c r="O55">
        <f t="shared" ca="1" si="20"/>
        <v>-0.28042092439237942</v>
      </c>
      <c r="Q55" s="2">
        <f t="shared" si="21"/>
        <v>44830.592100000009</v>
      </c>
    </row>
  </sheetData>
  <phoneticPr fontId="7" type="noConversion"/>
  <hyperlinks>
    <hyperlink ref="H64593" r:id="rId1" display="http://vsolj.cetus-net.org/bulletin.html" xr:uid="{00000000-0004-0000-0000-000000000000}"/>
    <hyperlink ref="H64586" r:id="rId2" display="https://www.aavso.org/ejaavso" xr:uid="{00000000-0004-0000-0000-000001000000}"/>
    <hyperlink ref="I64593" r:id="rId3" display="http://vsolj.cetus-net.org/bulletin.html" xr:uid="{00000000-0004-0000-0000-000002000000}"/>
    <hyperlink ref="AQ58244" r:id="rId4" display="http://cdsbib.u-strasbg.fr/cgi-bin/cdsbib?1990RMxAA..21..381G" xr:uid="{00000000-0004-0000-0000-000003000000}"/>
    <hyperlink ref="H64590" r:id="rId5" display="https://www.aavso.org/ejaavso" xr:uid="{00000000-0004-0000-0000-000004000000}"/>
    <hyperlink ref="AP5608" r:id="rId6" display="http://cdsbib.u-strasbg.fr/cgi-bin/cdsbib?1990RMxAA..21..381G" xr:uid="{00000000-0004-0000-0000-000005000000}"/>
    <hyperlink ref="AP5611" r:id="rId7" display="http://cdsbib.u-strasbg.fr/cgi-bin/cdsbib?1990RMxAA..21..381G" xr:uid="{00000000-0004-0000-0000-000006000000}"/>
    <hyperlink ref="AP5609" r:id="rId8" display="http://cdsbib.u-strasbg.fr/cgi-bin/cdsbib?1990RMxAA..21..381G" xr:uid="{00000000-0004-0000-0000-000007000000}"/>
    <hyperlink ref="AP5593" r:id="rId9" display="http://cdsbib.u-strasbg.fr/cgi-bin/cdsbib?1990RMxAA..21..381G" xr:uid="{00000000-0004-0000-0000-000008000000}"/>
    <hyperlink ref="AQ5822" r:id="rId10" display="http://cdsbib.u-strasbg.fr/cgi-bin/cdsbib?1990RMxAA..21..381G" xr:uid="{00000000-0004-0000-0000-000009000000}"/>
    <hyperlink ref="AQ5826" r:id="rId11" display="http://cdsbib.u-strasbg.fr/cgi-bin/cdsbib?1990RMxAA..21..381G" xr:uid="{00000000-0004-0000-0000-00000A000000}"/>
    <hyperlink ref="AQ65506" r:id="rId12" display="http://cdsbib.u-strasbg.fr/cgi-bin/cdsbib?1990RMxAA..21..381G" xr:uid="{00000000-0004-0000-0000-00000B000000}"/>
    <hyperlink ref="I2714" r:id="rId13" display="http://vsolj.cetus-net.org/bulletin.html" xr:uid="{00000000-0004-0000-0000-00000C000000}"/>
    <hyperlink ref="H2714" r:id="rId14" display="http://vsolj.cetus-net.org/bulletin.html" xr:uid="{00000000-0004-0000-0000-00000D000000}"/>
    <hyperlink ref="AQ631" r:id="rId15" display="http://cdsbib.u-strasbg.fr/cgi-bin/cdsbib?1990RMxAA..21..381G" xr:uid="{00000000-0004-0000-0000-00000E000000}"/>
    <hyperlink ref="AQ630" r:id="rId16" display="http://cdsbib.u-strasbg.fr/cgi-bin/cdsbib?1990RMxAA..21..381G" xr:uid="{00000000-0004-0000-0000-00000F000000}"/>
    <hyperlink ref="AP3884" r:id="rId17" display="http://cdsbib.u-strasbg.fr/cgi-bin/cdsbib?1990RMxAA..21..381G" xr:uid="{00000000-0004-0000-0000-000010000000}"/>
    <hyperlink ref="AP3902" r:id="rId18" display="http://cdsbib.u-strasbg.fr/cgi-bin/cdsbib?1990RMxAA..21..381G" xr:uid="{00000000-0004-0000-0000-000011000000}"/>
    <hyperlink ref="AP3903" r:id="rId19" display="http://cdsbib.u-strasbg.fr/cgi-bin/cdsbib?1990RMxAA..21..381G" xr:uid="{00000000-0004-0000-0000-000012000000}"/>
    <hyperlink ref="AP38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3"/>
  <sheetViews>
    <sheetView workbookViewId="0">
      <selection activeCell="A15" sqref="A15:D38"/>
    </sheetView>
  </sheetViews>
  <sheetFormatPr defaultRowHeight="12.75"/>
  <cols>
    <col min="1" max="1" width="19.7109375" style="13" customWidth="1"/>
    <col min="2" max="2" width="4.42578125" style="23" customWidth="1"/>
    <col min="3" max="3" width="12.7109375" style="13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3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34" t="s">
        <v>43</v>
      </c>
      <c r="I1" s="35" t="s">
        <v>44</v>
      </c>
      <c r="J1" s="36" t="s">
        <v>45</v>
      </c>
    </row>
    <row r="2" spans="1:16">
      <c r="I2" s="37" t="s">
        <v>46</v>
      </c>
      <c r="J2" s="38" t="s">
        <v>47</v>
      </c>
    </row>
    <row r="3" spans="1:16">
      <c r="A3" s="39" t="s">
        <v>48</v>
      </c>
      <c r="I3" s="37" t="s">
        <v>49</v>
      </c>
      <c r="J3" s="38" t="s">
        <v>50</v>
      </c>
    </row>
    <row r="4" spans="1:16">
      <c r="I4" s="37" t="s">
        <v>51</v>
      </c>
      <c r="J4" s="38" t="s">
        <v>50</v>
      </c>
    </row>
    <row r="5" spans="1:16" ht="13.5" thickBot="1">
      <c r="I5" s="40" t="s">
        <v>52</v>
      </c>
      <c r="J5" s="41" t="s">
        <v>53</v>
      </c>
    </row>
    <row r="10" spans="1:16" ht="13.5" thickBot="1"/>
    <row r="11" spans="1:16" ht="12.75" customHeight="1" thickBot="1">
      <c r="A11" s="13" t="str">
        <f t="shared" ref="A11:A38" si="0">P11</f>
        <v>IBVS 5677 </v>
      </c>
      <c r="B11" s="6" t="str">
        <f t="shared" ref="B11:B38" si="1">IF(H11=INT(H11),"I","II")</f>
        <v>I</v>
      </c>
      <c r="C11" s="13">
        <f t="shared" ref="C11:C38" si="2">1*G11</f>
        <v>53381.528400000003</v>
      </c>
      <c r="D11" s="23" t="str">
        <f t="shared" ref="D11:D38" si="3">VLOOKUP(F11,I$1:J$5,2,FALSE)</f>
        <v>vis</v>
      </c>
      <c r="E11" s="42" t="e">
        <f>VLOOKUP(C11,#REF!,3,FALSE)</f>
        <v>#REF!</v>
      </c>
      <c r="F11" s="6" t="s">
        <v>52</v>
      </c>
      <c r="G11" s="23" t="str">
        <f t="shared" ref="G11:G38" si="4">MID(I11,3,LEN(I11)-3)</f>
        <v>53381.5284</v>
      </c>
      <c r="H11" s="13">
        <f t="shared" ref="H11:H38" si="5">1*K11</f>
        <v>23308</v>
      </c>
      <c r="I11" s="43" t="s">
        <v>121</v>
      </c>
      <c r="J11" s="44" t="s">
        <v>122</v>
      </c>
      <c r="K11" s="43">
        <v>23308</v>
      </c>
      <c r="L11" s="43" t="s">
        <v>123</v>
      </c>
      <c r="M11" s="44" t="s">
        <v>109</v>
      </c>
      <c r="N11" s="44" t="s">
        <v>110</v>
      </c>
      <c r="O11" s="45" t="s">
        <v>124</v>
      </c>
      <c r="P11" s="46" t="s">
        <v>125</v>
      </c>
    </row>
    <row r="12" spans="1:16" ht="12.75" customHeight="1" thickBot="1">
      <c r="A12" s="13" t="str">
        <f t="shared" si="0"/>
        <v>IBVS 5690 </v>
      </c>
      <c r="B12" s="6" t="str">
        <f t="shared" si="1"/>
        <v>II</v>
      </c>
      <c r="C12" s="13">
        <f t="shared" si="2"/>
        <v>53388.6423</v>
      </c>
      <c r="D12" s="23" t="str">
        <f t="shared" si="3"/>
        <v>vis</v>
      </c>
      <c r="E12" s="42" t="e">
        <f>VLOOKUP(C12,#REF!,3,FALSE)</f>
        <v>#REF!</v>
      </c>
      <c r="F12" s="6" t="s">
        <v>52</v>
      </c>
      <c r="G12" s="23" t="str">
        <f t="shared" si="4"/>
        <v>53388.6423</v>
      </c>
      <c r="H12" s="13">
        <f t="shared" si="5"/>
        <v>23314.5</v>
      </c>
      <c r="I12" s="43" t="s">
        <v>126</v>
      </c>
      <c r="J12" s="44" t="s">
        <v>127</v>
      </c>
      <c r="K12" s="43">
        <v>23314.5</v>
      </c>
      <c r="L12" s="43" t="s">
        <v>128</v>
      </c>
      <c r="M12" s="44" t="s">
        <v>109</v>
      </c>
      <c r="N12" s="44" t="s">
        <v>110</v>
      </c>
      <c r="O12" s="45" t="s">
        <v>129</v>
      </c>
      <c r="P12" s="46" t="s">
        <v>130</v>
      </c>
    </row>
    <row r="13" spans="1:16" ht="12.75" customHeight="1" thickBot="1">
      <c r="A13" s="13" t="str">
        <f t="shared" si="0"/>
        <v>IBVS 5843 </v>
      </c>
      <c r="B13" s="6" t="str">
        <f t="shared" si="1"/>
        <v>I</v>
      </c>
      <c r="C13" s="13">
        <f t="shared" si="2"/>
        <v>54040.773699999998</v>
      </c>
      <c r="D13" s="23" t="str">
        <f t="shared" si="3"/>
        <v>vis</v>
      </c>
      <c r="E13" s="42" t="e">
        <f>VLOOKUP(C13,#REF!,3,FALSE)</f>
        <v>#REF!</v>
      </c>
      <c r="F13" s="6" t="s">
        <v>52</v>
      </c>
      <c r="G13" s="23" t="str">
        <f t="shared" si="4"/>
        <v>54040.7737</v>
      </c>
      <c r="H13" s="13">
        <f t="shared" si="5"/>
        <v>23898</v>
      </c>
      <c r="I13" s="43" t="s">
        <v>135</v>
      </c>
      <c r="J13" s="44" t="s">
        <v>136</v>
      </c>
      <c r="K13" s="43">
        <v>23898</v>
      </c>
      <c r="L13" s="43" t="s">
        <v>137</v>
      </c>
      <c r="M13" s="44" t="s">
        <v>138</v>
      </c>
      <c r="N13" s="44" t="s">
        <v>139</v>
      </c>
      <c r="O13" s="45" t="s">
        <v>140</v>
      </c>
      <c r="P13" s="46" t="s">
        <v>141</v>
      </c>
    </row>
    <row r="14" spans="1:16" ht="12.75" customHeight="1" thickBot="1">
      <c r="A14" s="13" t="str">
        <f t="shared" si="0"/>
        <v>IBVS 5871 </v>
      </c>
      <c r="B14" s="6" t="str">
        <f t="shared" si="1"/>
        <v>I</v>
      </c>
      <c r="C14" s="13">
        <f t="shared" si="2"/>
        <v>54812.663999999997</v>
      </c>
      <c r="D14" s="23" t="str">
        <f t="shared" si="3"/>
        <v>vis</v>
      </c>
      <c r="E14" s="42" t="e">
        <f>VLOOKUP(C14,#REF!,3,FALSE)</f>
        <v>#REF!</v>
      </c>
      <c r="F14" s="6" t="s">
        <v>52</v>
      </c>
      <c r="G14" s="23" t="str">
        <f t="shared" si="4"/>
        <v>54812.6640</v>
      </c>
      <c r="H14" s="13">
        <f t="shared" si="5"/>
        <v>24589</v>
      </c>
      <c r="I14" s="43" t="s">
        <v>142</v>
      </c>
      <c r="J14" s="44" t="s">
        <v>143</v>
      </c>
      <c r="K14" s="43" t="s">
        <v>144</v>
      </c>
      <c r="L14" s="43" t="s">
        <v>145</v>
      </c>
      <c r="M14" s="44" t="s">
        <v>138</v>
      </c>
      <c r="N14" s="44" t="s">
        <v>52</v>
      </c>
      <c r="O14" s="45" t="s">
        <v>146</v>
      </c>
      <c r="P14" s="46" t="s">
        <v>147</v>
      </c>
    </row>
    <row r="15" spans="1:16" ht="12.75" customHeight="1" thickBot="1">
      <c r="A15" s="13" t="str">
        <f t="shared" si="0"/>
        <v>IBVS 225 </v>
      </c>
      <c r="B15" s="6" t="str">
        <f t="shared" si="1"/>
        <v>I</v>
      </c>
      <c r="C15" s="13">
        <f t="shared" si="2"/>
        <v>27333.534</v>
      </c>
      <c r="D15" s="23" t="str">
        <f t="shared" si="3"/>
        <v>vis</v>
      </c>
      <c r="E15" s="42" t="e">
        <f>VLOOKUP(C15,#REF!,3,FALSE)</f>
        <v>#REF!</v>
      </c>
      <c r="F15" s="6" t="s">
        <v>52</v>
      </c>
      <c r="G15" s="23" t="str">
        <f t="shared" si="4"/>
        <v>27333.534</v>
      </c>
      <c r="H15" s="13">
        <f t="shared" si="5"/>
        <v>0</v>
      </c>
      <c r="I15" s="43" t="s">
        <v>54</v>
      </c>
      <c r="J15" s="44" t="s">
        <v>55</v>
      </c>
      <c r="K15" s="43">
        <v>0</v>
      </c>
      <c r="L15" s="43" t="s">
        <v>56</v>
      </c>
      <c r="M15" s="44" t="s">
        <v>57</v>
      </c>
      <c r="N15" s="44"/>
      <c r="O15" s="45" t="s">
        <v>58</v>
      </c>
      <c r="P15" s="46" t="s">
        <v>59</v>
      </c>
    </row>
    <row r="16" spans="1:16" ht="12.75" customHeight="1" thickBot="1">
      <c r="A16" s="13" t="str">
        <f t="shared" si="0"/>
        <v>IBVS 225 </v>
      </c>
      <c r="B16" s="6" t="str">
        <f t="shared" si="1"/>
        <v>I</v>
      </c>
      <c r="C16" s="13">
        <f t="shared" si="2"/>
        <v>27343.506000000001</v>
      </c>
      <c r="D16" s="23" t="str">
        <f t="shared" si="3"/>
        <v>vis</v>
      </c>
      <c r="E16" s="42" t="e">
        <f>VLOOKUP(C16,#REF!,3,FALSE)</f>
        <v>#REF!</v>
      </c>
      <c r="F16" s="6" t="s">
        <v>52</v>
      </c>
      <c r="G16" s="23" t="str">
        <f t="shared" si="4"/>
        <v>27343.506</v>
      </c>
      <c r="H16" s="13">
        <f t="shared" si="5"/>
        <v>9</v>
      </c>
      <c r="I16" s="43" t="s">
        <v>60</v>
      </c>
      <c r="J16" s="44" t="s">
        <v>61</v>
      </c>
      <c r="K16" s="43">
        <v>9</v>
      </c>
      <c r="L16" s="43" t="s">
        <v>62</v>
      </c>
      <c r="M16" s="44" t="s">
        <v>57</v>
      </c>
      <c r="N16" s="44"/>
      <c r="O16" s="45" t="s">
        <v>58</v>
      </c>
      <c r="P16" s="46" t="s">
        <v>59</v>
      </c>
    </row>
    <row r="17" spans="1:16" ht="12.75" customHeight="1" thickBot="1">
      <c r="A17" s="13" t="str">
        <f t="shared" si="0"/>
        <v>IBVS 225 </v>
      </c>
      <c r="B17" s="6" t="str">
        <f t="shared" si="1"/>
        <v>I</v>
      </c>
      <c r="C17" s="13">
        <f t="shared" si="2"/>
        <v>27398.308000000001</v>
      </c>
      <c r="D17" s="23" t="str">
        <f t="shared" si="3"/>
        <v>vis</v>
      </c>
      <c r="E17" s="42" t="e">
        <f>VLOOKUP(C17,#REF!,3,FALSE)</f>
        <v>#REF!</v>
      </c>
      <c r="F17" s="6" t="s">
        <v>52</v>
      </c>
      <c r="G17" s="23" t="str">
        <f t="shared" si="4"/>
        <v>27398.308</v>
      </c>
      <c r="H17" s="13">
        <f t="shared" si="5"/>
        <v>58</v>
      </c>
      <c r="I17" s="43" t="s">
        <v>63</v>
      </c>
      <c r="J17" s="44" t="s">
        <v>64</v>
      </c>
      <c r="K17" s="43">
        <v>58</v>
      </c>
      <c r="L17" s="43" t="s">
        <v>65</v>
      </c>
      <c r="M17" s="44" t="s">
        <v>57</v>
      </c>
      <c r="N17" s="44"/>
      <c r="O17" s="45" t="s">
        <v>58</v>
      </c>
      <c r="P17" s="46" t="s">
        <v>59</v>
      </c>
    </row>
    <row r="18" spans="1:16" ht="12.75" customHeight="1" thickBot="1">
      <c r="A18" s="13" t="str">
        <f t="shared" si="0"/>
        <v>IBVS 225 </v>
      </c>
      <c r="B18" s="6" t="str">
        <f t="shared" si="1"/>
        <v>I</v>
      </c>
      <c r="C18" s="13">
        <f t="shared" si="2"/>
        <v>27417.31</v>
      </c>
      <c r="D18" s="23" t="str">
        <f t="shared" si="3"/>
        <v>vis</v>
      </c>
      <c r="E18" s="42" t="e">
        <f>VLOOKUP(C18,#REF!,3,FALSE)</f>
        <v>#REF!</v>
      </c>
      <c r="F18" s="6" t="s">
        <v>52</v>
      </c>
      <c r="G18" s="23" t="str">
        <f t="shared" si="4"/>
        <v>27417.310</v>
      </c>
      <c r="H18" s="13">
        <f t="shared" si="5"/>
        <v>75</v>
      </c>
      <c r="I18" s="43" t="s">
        <v>66</v>
      </c>
      <c r="J18" s="44" t="s">
        <v>67</v>
      </c>
      <c r="K18" s="43">
        <v>75</v>
      </c>
      <c r="L18" s="43" t="s">
        <v>68</v>
      </c>
      <c r="M18" s="44" t="s">
        <v>57</v>
      </c>
      <c r="N18" s="44"/>
      <c r="O18" s="45" t="s">
        <v>58</v>
      </c>
      <c r="P18" s="46" t="s">
        <v>59</v>
      </c>
    </row>
    <row r="19" spans="1:16" ht="12.75" customHeight="1" thickBot="1">
      <c r="A19" s="13" t="str">
        <f t="shared" si="0"/>
        <v>IBVS 225 </v>
      </c>
      <c r="B19" s="6" t="str">
        <f t="shared" si="1"/>
        <v>I</v>
      </c>
      <c r="C19" s="13">
        <f t="shared" si="2"/>
        <v>27417.353999999999</v>
      </c>
      <c r="D19" s="23" t="str">
        <f t="shared" si="3"/>
        <v>vis</v>
      </c>
      <c r="E19" s="42" t="e">
        <f>VLOOKUP(C19,#REF!,3,FALSE)</f>
        <v>#REF!</v>
      </c>
      <c r="F19" s="6" t="s">
        <v>52</v>
      </c>
      <c r="G19" s="23" t="str">
        <f t="shared" si="4"/>
        <v>27417.354</v>
      </c>
      <c r="H19" s="13">
        <f t="shared" si="5"/>
        <v>75</v>
      </c>
      <c r="I19" s="43" t="s">
        <v>69</v>
      </c>
      <c r="J19" s="44" t="s">
        <v>70</v>
      </c>
      <c r="K19" s="43">
        <v>75</v>
      </c>
      <c r="L19" s="43" t="s">
        <v>71</v>
      </c>
      <c r="M19" s="44" t="s">
        <v>57</v>
      </c>
      <c r="N19" s="44"/>
      <c r="O19" s="45" t="s">
        <v>58</v>
      </c>
      <c r="P19" s="46" t="s">
        <v>59</v>
      </c>
    </row>
    <row r="20" spans="1:16" ht="12.75" customHeight="1" thickBot="1">
      <c r="A20" s="13" t="str">
        <f t="shared" si="0"/>
        <v>IBVS 225 </v>
      </c>
      <c r="B20" s="6" t="str">
        <f t="shared" si="1"/>
        <v>II</v>
      </c>
      <c r="C20" s="13">
        <f t="shared" si="2"/>
        <v>27421.262999999999</v>
      </c>
      <c r="D20" s="23" t="str">
        <f t="shared" si="3"/>
        <v>vis</v>
      </c>
      <c r="E20" s="42" t="e">
        <f>VLOOKUP(C20,#REF!,3,FALSE)</f>
        <v>#REF!</v>
      </c>
      <c r="F20" s="6" t="s">
        <v>52</v>
      </c>
      <c r="G20" s="23" t="str">
        <f t="shared" si="4"/>
        <v>27421.263</v>
      </c>
      <c r="H20" s="13">
        <f t="shared" si="5"/>
        <v>78.5</v>
      </c>
      <c r="I20" s="43" t="s">
        <v>72</v>
      </c>
      <c r="J20" s="44" t="s">
        <v>73</v>
      </c>
      <c r="K20" s="43">
        <v>78.5</v>
      </c>
      <c r="L20" s="43" t="s">
        <v>74</v>
      </c>
      <c r="M20" s="44" t="s">
        <v>57</v>
      </c>
      <c r="N20" s="44"/>
      <c r="O20" s="45" t="s">
        <v>58</v>
      </c>
      <c r="P20" s="46" t="s">
        <v>59</v>
      </c>
    </row>
    <row r="21" spans="1:16" ht="12.75" customHeight="1" thickBot="1">
      <c r="A21" s="13" t="str">
        <f t="shared" si="0"/>
        <v>IBVS 225 </v>
      </c>
      <c r="B21" s="6" t="str">
        <f t="shared" si="1"/>
        <v>I</v>
      </c>
      <c r="C21" s="13">
        <f t="shared" si="2"/>
        <v>36485.483</v>
      </c>
      <c r="D21" s="23" t="str">
        <f t="shared" si="3"/>
        <v>vis</v>
      </c>
      <c r="E21" s="42" t="e">
        <f>VLOOKUP(C21,#REF!,3,FALSE)</f>
        <v>#REF!</v>
      </c>
      <c r="F21" s="6" t="s">
        <v>52</v>
      </c>
      <c r="G21" s="23" t="str">
        <f t="shared" si="4"/>
        <v>36485.483</v>
      </c>
      <c r="H21" s="13">
        <f t="shared" si="5"/>
        <v>8189</v>
      </c>
      <c r="I21" s="43" t="s">
        <v>75</v>
      </c>
      <c r="J21" s="44" t="s">
        <v>76</v>
      </c>
      <c r="K21" s="43">
        <v>8189</v>
      </c>
      <c r="L21" s="43" t="s">
        <v>77</v>
      </c>
      <c r="M21" s="44" t="s">
        <v>57</v>
      </c>
      <c r="N21" s="44"/>
      <c r="O21" s="45" t="s">
        <v>58</v>
      </c>
      <c r="P21" s="46" t="s">
        <v>59</v>
      </c>
    </row>
    <row r="22" spans="1:16" ht="12.75" customHeight="1" thickBot="1">
      <c r="A22" s="13" t="str">
        <f t="shared" si="0"/>
        <v>IBVS 225 </v>
      </c>
      <c r="B22" s="6" t="str">
        <f t="shared" si="1"/>
        <v>I</v>
      </c>
      <c r="C22" s="13">
        <f t="shared" si="2"/>
        <v>36485.519</v>
      </c>
      <c r="D22" s="23" t="str">
        <f t="shared" si="3"/>
        <v>vis</v>
      </c>
      <c r="E22" s="42" t="e">
        <f>VLOOKUP(C22,#REF!,3,FALSE)</f>
        <v>#REF!</v>
      </c>
      <c r="F22" s="6" t="s">
        <v>52</v>
      </c>
      <c r="G22" s="23" t="str">
        <f t="shared" si="4"/>
        <v>36485.519</v>
      </c>
      <c r="H22" s="13">
        <f t="shared" si="5"/>
        <v>8189</v>
      </c>
      <c r="I22" s="43" t="s">
        <v>78</v>
      </c>
      <c r="J22" s="44" t="s">
        <v>79</v>
      </c>
      <c r="K22" s="43">
        <v>8189</v>
      </c>
      <c r="L22" s="43" t="s">
        <v>80</v>
      </c>
      <c r="M22" s="44" t="s">
        <v>57</v>
      </c>
      <c r="N22" s="44"/>
      <c r="O22" s="45" t="s">
        <v>58</v>
      </c>
      <c r="P22" s="46" t="s">
        <v>59</v>
      </c>
    </row>
    <row r="23" spans="1:16" ht="12.75" customHeight="1" thickBot="1">
      <c r="A23" s="13" t="str">
        <f t="shared" si="0"/>
        <v>IBVS 225 </v>
      </c>
      <c r="B23" s="6" t="str">
        <f t="shared" si="1"/>
        <v>II</v>
      </c>
      <c r="C23" s="13">
        <f t="shared" si="2"/>
        <v>38002.413</v>
      </c>
      <c r="D23" s="23" t="str">
        <f t="shared" si="3"/>
        <v>vis</v>
      </c>
      <c r="E23" s="42" t="e">
        <f>VLOOKUP(C23,#REF!,3,FALSE)</f>
        <v>#REF!</v>
      </c>
      <c r="F23" s="6" t="s">
        <v>52</v>
      </c>
      <c r="G23" s="23" t="str">
        <f t="shared" si="4"/>
        <v>38002.413</v>
      </c>
      <c r="H23" s="13">
        <f t="shared" si="5"/>
        <v>9546.5</v>
      </c>
      <c r="I23" s="43" t="s">
        <v>81</v>
      </c>
      <c r="J23" s="44" t="s">
        <v>82</v>
      </c>
      <c r="K23" s="43">
        <v>9546.5</v>
      </c>
      <c r="L23" s="43" t="s">
        <v>83</v>
      </c>
      <c r="M23" s="44" t="s">
        <v>57</v>
      </c>
      <c r="N23" s="44"/>
      <c r="O23" s="45" t="s">
        <v>84</v>
      </c>
      <c r="P23" s="46" t="s">
        <v>59</v>
      </c>
    </row>
    <row r="24" spans="1:16" ht="12.75" customHeight="1" thickBot="1">
      <c r="A24" s="13" t="str">
        <f t="shared" si="0"/>
        <v>IBVS 225 </v>
      </c>
      <c r="B24" s="6" t="str">
        <f t="shared" si="1"/>
        <v>I</v>
      </c>
      <c r="C24" s="13">
        <f t="shared" si="2"/>
        <v>38522.495999999999</v>
      </c>
      <c r="D24" s="23" t="str">
        <f t="shared" si="3"/>
        <v>vis</v>
      </c>
      <c r="E24" s="42" t="e">
        <f>VLOOKUP(C24,#REF!,3,FALSE)</f>
        <v>#REF!</v>
      </c>
      <c r="F24" s="6" t="s">
        <v>52</v>
      </c>
      <c r="G24" s="23" t="str">
        <f t="shared" si="4"/>
        <v>38522.496</v>
      </c>
      <c r="H24" s="13">
        <f t="shared" si="5"/>
        <v>10012</v>
      </c>
      <c r="I24" s="43" t="s">
        <v>85</v>
      </c>
      <c r="J24" s="44" t="s">
        <v>86</v>
      </c>
      <c r="K24" s="43">
        <v>10012</v>
      </c>
      <c r="L24" s="43" t="s">
        <v>87</v>
      </c>
      <c r="M24" s="44" t="s">
        <v>57</v>
      </c>
      <c r="N24" s="44"/>
      <c r="O24" s="45" t="s">
        <v>84</v>
      </c>
      <c r="P24" s="46" t="s">
        <v>59</v>
      </c>
    </row>
    <row r="25" spans="1:16" ht="12.75" customHeight="1" thickBot="1">
      <c r="A25" s="13" t="str">
        <f t="shared" si="0"/>
        <v>IBVS 225 </v>
      </c>
      <c r="B25" s="6" t="str">
        <f t="shared" si="1"/>
        <v>I</v>
      </c>
      <c r="C25" s="13">
        <f t="shared" si="2"/>
        <v>38711.351000000002</v>
      </c>
      <c r="D25" s="23" t="str">
        <f t="shared" si="3"/>
        <v>vis</v>
      </c>
      <c r="E25" s="42" t="e">
        <f>VLOOKUP(C25,#REF!,3,FALSE)</f>
        <v>#REF!</v>
      </c>
      <c r="F25" s="6" t="s">
        <v>52</v>
      </c>
      <c r="G25" s="23" t="str">
        <f t="shared" si="4"/>
        <v>38711.351</v>
      </c>
      <c r="H25" s="13">
        <f t="shared" si="5"/>
        <v>10181</v>
      </c>
      <c r="I25" s="43" t="s">
        <v>88</v>
      </c>
      <c r="J25" s="44" t="s">
        <v>89</v>
      </c>
      <c r="K25" s="43">
        <v>10181</v>
      </c>
      <c r="L25" s="43" t="s">
        <v>90</v>
      </c>
      <c r="M25" s="44" t="s">
        <v>57</v>
      </c>
      <c r="N25" s="44"/>
      <c r="O25" s="45" t="s">
        <v>84</v>
      </c>
      <c r="P25" s="46" t="s">
        <v>59</v>
      </c>
    </row>
    <row r="26" spans="1:16" ht="12.75" customHeight="1" thickBot="1">
      <c r="A26" s="13" t="str">
        <f t="shared" si="0"/>
        <v>IBVS 225 </v>
      </c>
      <c r="B26" s="6" t="str">
        <f t="shared" si="1"/>
        <v>I</v>
      </c>
      <c r="C26" s="13">
        <f t="shared" si="2"/>
        <v>38729.311000000002</v>
      </c>
      <c r="D26" s="23" t="str">
        <f t="shared" si="3"/>
        <v>vis</v>
      </c>
      <c r="E26" s="42" t="e">
        <f>VLOOKUP(C26,#REF!,3,FALSE)</f>
        <v>#REF!</v>
      </c>
      <c r="F26" s="6" t="s">
        <v>52</v>
      </c>
      <c r="G26" s="23" t="str">
        <f t="shared" si="4"/>
        <v>38729.311</v>
      </c>
      <c r="H26" s="13">
        <f t="shared" si="5"/>
        <v>10197</v>
      </c>
      <c r="I26" s="43" t="s">
        <v>91</v>
      </c>
      <c r="J26" s="44" t="s">
        <v>92</v>
      </c>
      <c r="K26" s="43">
        <v>10197</v>
      </c>
      <c r="L26" s="43" t="s">
        <v>93</v>
      </c>
      <c r="M26" s="44" t="s">
        <v>57</v>
      </c>
      <c r="N26" s="44"/>
      <c r="O26" s="45" t="s">
        <v>84</v>
      </c>
      <c r="P26" s="46" t="s">
        <v>59</v>
      </c>
    </row>
    <row r="27" spans="1:16" ht="12.75" customHeight="1" thickBot="1">
      <c r="A27" s="13" t="str">
        <f t="shared" si="0"/>
        <v>IBVS 225 </v>
      </c>
      <c r="B27" s="6" t="str">
        <f t="shared" si="1"/>
        <v>I</v>
      </c>
      <c r="C27" s="13">
        <f t="shared" si="2"/>
        <v>38738.279000000002</v>
      </c>
      <c r="D27" s="23" t="str">
        <f t="shared" si="3"/>
        <v>vis</v>
      </c>
      <c r="E27" s="42" t="e">
        <f>VLOOKUP(C27,#REF!,3,FALSE)</f>
        <v>#REF!</v>
      </c>
      <c r="F27" s="6" t="s">
        <v>52</v>
      </c>
      <c r="G27" s="23" t="str">
        <f t="shared" si="4"/>
        <v>38738.279</v>
      </c>
      <c r="H27" s="13">
        <f t="shared" si="5"/>
        <v>10205</v>
      </c>
      <c r="I27" s="43" t="s">
        <v>94</v>
      </c>
      <c r="J27" s="44" t="s">
        <v>95</v>
      </c>
      <c r="K27" s="43">
        <v>10205</v>
      </c>
      <c r="L27" s="43" t="s">
        <v>96</v>
      </c>
      <c r="M27" s="44" t="s">
        <v>57</v>
      </c>
      <c r="N27" s="44"/>
      <c r="O27" s="45" t="s">
        <v>84</v>
      </c>
      <c r="P27" s="46" t="s">
        <v>59</v>
      </c>
    </row>
    <row r="28" spans="1:16" ht="12.75" customHeight="1" thickBot="1">
      <c r="A28" s="13" t="str">
        <f t="shared" si="0"/>
        <v>IBVS 225 </v>
      </c>
      <c r="B28" s="6" t="str">
        <f t="shared" si="1"/>
        <v>I</v>
      </c>
      <c r="C28" s="13">
        <f t="shared" si="2"/>
        <v>39054.430999999997</v>
      </c>
      <c r="D28" s="23" t="str">
        <f t="shared" si="3"/>
        <v>vis</v>
      </c>
      <c r="E28" s="42" t="e">
        <f>VLOOKUP(C28,#REF!,3,FALSE)</f>
        <v>#REF!</v>
      </c>
      <c r="F28" s="6" t="s">
        <v>52</v>
      </c>
      <c r="G28" s="23" t="str">
        <f t="shared" si="4"/>
        <v>39054.431</v>
      </c>
      <c r="H28" s="13">
        <f t="shared" si="5"/>
        <v>10488</v>
      </c>
      <c r="I28" s="43" t="s">
        <v>97</v>
      </c>
      <c r="J28" s="44" t="s">
        <v>98</v>
      </c>
      <c r="K28" s="43">
        <v>10488</v>
      </c>
      <c r="L28" s="43" t="s">
        <v>99</v>
      </c>
      <c r="M28" s="44" t="s">
        <v>57</v>
      </c>
      <c r="N28" s="44"/>
      <c r="O28" s="45" t="s">
        <v>84</v>
      </c>
      <c r="P28" s="46" t="s">
        <v>59</v>
      </c>
    </row>
    <row r="29" spans="1:16" ht="12.75" customHeight="1" thickBot="1">
      <c r="A29" s="13" t="str">
        <f t="shared" si="0"/>
        <v>IBVS 225 </v>
      </c>
      <c r="B29" s="6" t="str">
        <f t="shared" si="1"/>
        <v>I</v>
      </c>
      <c r="C29" s="13">
        <f t="shared" si="2"/>
        <v>39378.550999999999</v>
      </c>
      <c r="D29" s="23" t="str">
        <f t="shared" si="3"/>
        <v>vis</v>
      </c>
      <c r="E29" s="42" t="e">
        <f>VLOOKUP(C29,#REF!,3,FALSE)</f>
        <v>#REF!</v>
      </c>
      <c r="F29" s="6" t="s">
        <v>52</v>
      </c>
      <c r="G29" s="23" t="str">
        <f t="shared" si="4"/>
        <v>39378.551</v>
      </c>
      <c r="H29" s="13">
        <f t="shared" si="5"/>
        <v>10778</v>
      </c>
      <c r="I29" s="43" t="s">
        <v>100</v>
      </c>
      <c r="J29" s="44" t="s">
        <v>101</v>
      </c>
      <c r="K29" s="43">
        <v>10778</v>
      </c>
      <c r="L29" s="43" t="s">
        <v>102</v>
      </c>
      <c r="M29" s="44" t="s">
        <v>57</v>
      </c>
      <c r="N29" s="44"/>
      <c r="O29" s="45" t="s">
        <v>84</v>
      </c>
      <c r="P29" s="46" t="s">
        <v>59</v>
      </c>
    </row>
    <row r="30" spans="1:16" ht="12.75" customHeight="1" thickBot="1">
      <c r="A30" s="13" t="str">
        <f t="shared" si="0"/>
        <v>IBVS 225 </v>
      </c>
      <c r="B30" s="6" t="str">
        <f t="shared" si="1"/>
        <v>I</v>
      </c>
      <c r="C30" s="13">
        <f t="shared" si="2"/>
        <v>39443.360000000001</v>
      </c>
      <c r="D30" s="23" t="str">
        <f t="shared" si="3"/>
        <v>vis</v>
      </c>
      <c r="E30" s="42" t="e">
        <f>VLOOKUP(C30,#REF!,3,FALSE)</f>
        <v>#REF!</v>
      </c>
      <c r="F30" s="6" t="s">
        <v>52</v>
      </c>
      <c r="G30" s="23" t="str">
        <f t="shared" si="4"/>
        <v>39443.360</v>
      </c>
      <c r="H30" s="13">
        <f t="shared" si="5"/>
        <v>10836</v>
      </c>
      <c r="I30" s="43" t="s">
        <v>103</v>
      </c>
      <c r="J30" s="44" t="s">
        <v>104</v>
      </c>
      <c r="K30" s="43">
        <v>10836</v>
      </c>
      <c r="L30" s="43" t="s">
        <v>105</v>
      </c>
      <c r="M30" s="44" t="s">
        <v>57</v>
      </c>
      <c r="N30" s="44"/>
      <c r="O30" s="45" t="s">
        <v>84</v>
      </c>
      <c r="P30" s="46" t="s">
        <v>59</v>
      </c>
    </row>
    <row r="31" spans="1:16" ht="12.75" customHeight="1" thickBot="1">
      <c r="A31" s="13" t="str">
        <f t="shared" si="0"/>
        <v>VSB 39 </v>
      </c>
      <c r="B31" s="6" t="str">
        <f t="shared" si="1"/>
        <v>II</v>
      </c>
      <c r="C31" s="13">
        <f t="shared" si="2"/>
        <v>52176.084000000003</v>
      </c>
      <c r="D31" s="23" t="str">
        <f t="shared" si="3"/>
        <v>vis</v>
      </c>
      <c r="E31" s="42" t="e">
        <f>VLOOKUP(C31,#REF!,3,FALSE)</f>
        <v>#REF!</v>
      </c>
      <c r="F31" s="6" t="s">
        <v>52</v>
      </c>
      <c r="G31" s="23" t="str">
        <f t="shared" si="4"/>
        <v>52176.0840</v>
      </c>
      <c r="H31" s="13">
        <f t="shared" si="5"/>
        <v>22229.5</v>
      </c>
      <c r="I31" s="43" t="s">
        <v>106</v>
      </c>
      <c r="J31" s="44" t="s">
        <v>107</v>
      </c>
      <c r="K31" s="43">
        <v>22229.5</v>
      </c>
      <c r="L31" s="43" t="s">
        <v>108</v>
      </c>
      <c r="M31" s="44" t="s">
        <v>109</v>
      </c>
      <c r="N31" s="44" t="s">
        <v>110</v>
      </c>
      <c r="O31" s="45" t="s">
        <v>111</v>
      </c>
      <c r="P31" s="46" t="s">
        <v>112</v>
      </c>
    </row>
    <row r="32" spans="1:16" ht="12.75" customHeight="1" thickBot="1">
      <c r="A32" s="13" t="str">
        <f t="shared" si="0"/>
        <v>VSB 40 </v>
      </c>
      <c r="B32" s="6" t="str">
        <f t="shared" si="1"/>
        <v>I</v>
      </c>
      <c r="C32" s="13">
        <f t="shared" si="2"/>
        <v>52561.030400000003</v>
      </c>
      <c r="D32" s="23" t="str">
        <f t="shared" si="3"/>
        <v>vis</v>
      </c>
      <c r="E32" s="42" t="e">
        <f>VLOOKUP(C32,#REF!,3,FALSE)</f>
        <v>#REF!</v>
      </c>
      <c r="F32" s="6" t="s">
        <v>52</v>
      </c>
      <c r="G32" s="23" t="str">
        <f t="shared" si="4"/>
        <v>52561.0304</v>
      </c>
      <c r="H32" s="13">
        <f t="shared" si="5"/>
        <v>22574</v>
      </c>
      <c r="I32" s="43" t="s">
        <v>113</v>
      </c>
      <c r="J32" s="44" t="s">
        <v>114</v>
      </c>
      <c r="K32" s="43">
        <v>22574</v>
      </c>
      <c r="L32" s="43" t="s">
        <v>115</v>
      </c>
      <c r="M32" s="44" t="s">
        <v>109</v>
      </c>
      <c r="N32" s="44" t="s">
        <v>110</v>
      </c>
      <c r="O32" s="45" t="s">
        <v>111</v>
      </c>
      <c r="P32" s="46" t="s">
        <v>116</v>
      </c>
    </row>
    <row r="33" spans="1:16" ht="12.75" customHeight="1" thickBot="1">
      <c r="A33" s="13" t="str">
        <f t="shared" si="0"/>
        <v>VSB 42 </v>
      </c>
      <c r="B33" s="6" t="str">
        <f t="shared" si="1"/>
        <v>I</v>
      </c>
      <c r="C33" s="13">
        <f t="shared" si="2"/>
        <v>52913.176599999999</v>
      </c>
      <c r="D33" s="23" t="str">
        <f t="shared" si="3"/>
        <v>vis</v>
      </c>
      <c r="E33" s="42" t="e">
        <f>VLOOKUP(C33,#REF!,3,FALSE)</f>
        <v>#REF!</v>
      </c>
      <c r="F33" s="6" t="s">
        <v>52</v>
      </c>
      <c r="G33" s="23" t="str">
        <f t="shared" si="4"/>
        <v>52913.1766</v>
      </c>
      <c r="H33" s="13">
        <f t="shared" si="5"/>
        <v>22889</v>
      </c>
      <c r="I33" s="43" t="s">
        <v>117</v>
      </c>
      <c r="J33" s="44" t="s">
        <v>118</v>
      </c>
      <c r="K33" s="43">
        <v>22889</v>
      </c>
      <c r="L33" s="43" t="s">
        <v>119</v>
      </c>
      <c r="M33" s="44" t="s">
        <v>109</v>
      </c>
      <c r="N33" s="44" t="s">
        <v>110</v>
      </c>
      <c r="O33" s="45" t="s">
        <v>111</v>
      </c>
      <c r="P33" s="46" t="s">
        <v>120</v>
      </c>
    </row>
    <row r="34" spans="1:16" ht="12.75" customHeight="1" thickBot="1">
      <c r="A34" s="13" t="str">
        <f t="shared" si="0"/>
        <v>VSB 44 </v>
      </c>
      <c r="B34" s="6" t="str">
        <f t="shared" si="1"/>
        <v>II</v>
      </c>
      <c r="C34" s="13">
        <f t="shared" si="2"/>
        <v>53668.076999999997</v>
      </c>
      <c r="D34" s="23" t="str">
        <f t="shared" si="3"/>
        <v>vis</v>
      </c>
      <c r="E34" s="42" t="e">
        <f>VLOOKUP(C34,#REF!,3,FALSE)</f>
        <v>#REF!</v>
      </c>
      <c r="F34" s="6" t="s">
        <v>52</v>
      </c>
      <c r="G34" s="23" t="str">
        <f t="shared" si="4"/>
        <v>53668.0770</v>
      </c>
      <c r="H34" s="13">
        <f t="shared" si="5"/>
        <v>23564.5</v>
      </c>
      <c r="I34" s="43" t="s">
        <v>131</v>
      </c>
      <c r="J34" s="44" t="s">
        <v>132</v>
      </c>
      <c r="K34" s="43">
        <v>23564.5</v>
      </c>
      <c r="L34" s="43" t="s">
        <v>133</v>
      </c>
      <c r="M34" s="44" t="s">
        <v>109</v>
      </c>
      <c r="N34" s="44" t="s">
        <v>110</v>
      </c>
      <c r="O34" s="45" t="s">
        <v>111</v>
      </c>
      <c r="P34" s="46" t="s">
        <v>134</v>
      </c>
    </row>
    <row r="35" spans="1:16" ht="12.75" customHeight="1" thickBot="1">
      <c r="A35" s="13" t="str">
        <f t="shared" si="0"/>
        <v>VSB 48 </v>
      </c>
      <c r="B35" s="6" t="str">
        <f t="shared" si="1"/>
        <v>I</v>
      </c>
      <c r="C35" s="13">
        <f t="shared" si="2"/>
        <v>54815.0334</v>
      </c>
      <c r="D35" s="23" t="str">
        <f t="shared" si="3"/>
        <v>vis</v>
      </c>
      <c r="E35" s="42" t="e">
        <f>VLOOKUP(C35,#REF!,3,FALSE)</f>
        <v>#REF!</v>
      </c>
      <c r="F35" s="6" t="s">
        <v>52</v>
      </c>
      <c r="G35" s="23" t="str">
        <f t="shared" si="4"/>
        <v>54815.0334</v>
      </c>
      <c r="H35" s="13">
        <f t="shared" si="5"/>
        <v>24591</v>
      </c>
      <c r="I35" s="43" t="s">
        <v>148</v>
      </c>
      <c r="J35" s="44" t="s">
        <v>149</v>
      </c>
      <c r="K35" s="43" t="s">
        <v>150</v>
      </c>
      <c r="L35" s="43" t="s">
        <v>151</v>
      </c>
      <c r="M35" s="44" t="s">
        <v>138</v>
      </c>
      <c r="N35" s="44" t="s">
        <v>152</v>
      </c>
      <c r="O35" s="45" t="s">
        <v>153</v>
      </c>
      <c r="P35" s="46" t="s">
        <v>154</v>
      </c>
    </row>
    <row r="36" spans="1:16" ht="12.75" customHeight="1" thickBot="1">
      <c r="A36" s="13" t="str">
        <f t="shared" si="0"/>
        <v>VSB 51 </v>
      </c>
      <c r="B36" s="6" t="str">
        <f t="shared" si="1"/>
        <v>II</v>
      </c>
      <c r="C36" s="13">
        <f t="shared" si="2"/>
        <v>55533.959199999998</v>
      </c>
      <c r="D36" s="23" t="str">
        <f t="shared" si="3"/>
        <v>vis</v>
      </c>
      <c r="E36" s="42" t="e">
        <f>VLOOKUP(C36,#REF!,3,FALSE)</f>
        <v>#REF!</v>
      </c>
      <c r="F36" s="6" t="s">
        <v>52</v>
      </c>
      <c r="G36" s="23" t="str">
        <f t="shared" si="4"/>
        <v>55533.9592</v>
      </c>
      <c r="H36" s="13">
        <f t="shared" si="5"/>
        <v>25234.5</v>
      </c>
      <c r="I36" s="43" t="s">
        <v>155</v>
      </c>
      <c r="J36" s="44" t="s">
        <v>156</v>
      </c>
      <c r="K36" s="43" t="s">
        <v>157</v>
      </c>
      <c r="L36" s="43" t="s">
        <v>158</v>
      </c>
      <c r="M36" s="44" t="s">
        <v>138</v>
      </c>
      <c r="N36" s="44" t="s">
        <v>159</v>
      </c>
      <c r="O36" s="45" t="s">
        <v>111</v>
      </c>
      <c r="P36" s="46" t="s">
        <v>160</v>
      </c>
    </row>
    <row r="37" spans="1:16" ht="12.75" customHeight="1" thickBot="1">
      <c r="A37" s="13" t="str">
        <f t="shared" si="0"/>
        <v>VSB 56 </v>
      </c>
      <c r="B37" s="6" t="str">
        <f t="shared" si="1"/>
        <v>II</v>
      </c>
      <c r="C37" s="13">
        <f t="shared" si="2"/>
        <v>56608.978199999998</v>
      </c>
      <c r="D37" s="23" t="str">
        <f t="shared" si="3"/>
        <v>vis</v>
      </c>
      <c r="E37" s="42" t="e">
        <f>VLOOKUP(C37,#REF!,3,FALSE)</f>
        <v>#REF!</v>
      </c>
      <c r="F37" s="6" t="s">
        <v>52</v>
      </c>
      <c r="G37" s="23" t="str">
        <f t="shared" si="4"/>
        <v>56608.9782</v>
      </c>
      <c r="H37" s="13">
        <f t="shared" si="5"/>
        <v>26196.5</v>
      </c>
      <c r="I37" s="43" t="s">
        <v>161</v>
      </c>
      <c r="J37" s="44" t="s">
        <v>162</v>
      </c>
      <c r="K37" s="43" t="s">
        <v>163</v>
      </c>
      <c r="L37" s="43" t="s">
        <v>164</v>
      </c>
      <c r="M37" s="44" t="s">
        <v>138</v>
      </c>
      <c r="N37" s="44" t="s">
        <v>159</v>
      </c>
      <c r="O37" s="45" t="s">
        <v>111</v>
      </c>
      <c r="P37" s="46" t="s">
        <v>165</v>
      </c>
    </row>
    <row r="38" spans="1:16" ht="12.75" customHeight="1" thickBot="1">
      <c r="A38" s="13" t="str">
        <f t="shared" si="0"/>
        <v>VSB 59 </v>
      </c>
      <c r="B38" s="6" t="str">
        <f t="shared" si="1"/>
        <v>I</v>
      </c>
      <c r="C38" s="13">
        <f t="shared" si="2"/>
        <v>56974.968200000003</v>
      </c>
      <c r="D38" s="23" t="str">
        <f t="shared" si="3"/>
        <v>vis</v>
      </c>
      <c r="E38" s="42" t="e">
        <f>VLOOKUP(C38,#REF!,3,FALSE)</f>
        <v>#REF!</v>
      </c>
      <c r="F38" s="6" t="s">
        <v>52</v>
      </c>
      <c r="G38" s="23" t="str">
        <f t="shared" si="4"/>
        <v>56974.9682</v>
      </c>
      <c r="H38" s="13">
        <f t="shared" si="5"/>
        <v>26524</v>
      </c>
      <c r="I38" s="43" t="s">
        <v>166</v>
      </c>
      <c r="J38" s="44" t="s">
        <v>167</v>
      </c>
      <c r="K38" s="43" t="s">
        <v>168</v>
      </c>
      <c r="L38" s="43" t="s">
        <v>169</v>
      </c>
      <c r="M38" s="44" t="s">
        <v>138</v>
      </c>
      <c r="N38" s="44" t="s">
        <v>159</v>
      </c>
      <c r="O38" s="45" t="s">
        <v>111</v>
      </c>
      <c r="P38" s="46" t="s">
        <v>170</v>
      </c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</sheetData>
  <phoneticPr fontId="7" type="noConversion"/>
  <hyperlinks>
    <hyperlink ref="P15" r:id="rId1" display="http://www.konkoly.hu/cgi-bin/IBVS?225" xr:uid="{00000000-0004-0000-0100-000000000000}"/>
    <hyperlink ref="P16" r:id="rId2" display="http://www.konkoly.hu/cgi-bin/IBVS?225" xr:uid="{00000000-0004-0000-0100-000001000000}"/>
    <hyperlink ref="P17" r:id="rId3" display="http://www.konkoly.hu/cgi-bin/IBVS?225" xr:uid="{00000000-0004-0000-0100-000002000000}"/>
    <hyperlink ref="P18" r:id="rId4" display="http://www.konkoly.hu/cgi-bin/IBVS?225" xr:uid="{00000000-0004-0000-0100-000003000000}"/>
    <hyperlink ref="P19" r:id="rId5" display="http://www.konkoly.hu/cgi-bin/IBVS?225" xr:uid="{00000000-0004-0000-0100-000004000000}"/>
    <hyperlink ref="P20" r:id="rId6" display="http://www.konkoly.hu/cgi-bin/IBVS?225" xr:uid="{00000000-0004-0000-0100-000005000000}"/>
    <hyperlink ref="P21" r:id="rId7" display="http://www.konkoly.hu/cgi-bin/IBVS?225" xr:uid="{00000000-0004-0000-0100-000006000000}"/>
    <hyperlink ref="P22" r:id="rId8" display="http://www.konkoly.hu/cgi-bin/IBVS?225" xr:uid="{00000000-0004-0000-0100-000007000000}"/>
    <hyperlink ref="P23" r:id="rId9" display="http://www.konkoly.hu/cgi-bin/IBVS?225" xr:uid="{00000000-0004-0000-0100-000008000000}"/>
    <hyperlink ref="P24" r:id="rId10" display="http://www.konkoly.hu/cgi-bin/IBVS?225" xr:uid="{00000000-0004-0000-0100-000009000000}"/>
    <hyperlink ref="P25" r:id="rId11" display="http://www.konkoly.hu/cgi-bin/IBVS?225" xr:uid="{00000000-0004-0000-0100-00000A000000}"/>
    <hyperlink ref="P26" r:id="rId12" display="http://www.konkoly.hu/cgi-bin/IBVS?225" xr:uid="{00000000-0004-0000-0100-00000B000000}"/>
    <hyperlink ref="P27" r:id="rId13" display="http://www.konkoly.hu/cgi-bin/IBVS?225" xr:uid="{00000000-0004-0000-0100-00000C000000}"/>
    <hyperlink ref="P28" r:id="rId14" display="http://www.konkoly.hu/cgi-bin/IBVS?225" xr:uid="{00000000-0004-0000-0100-00000D000000}"/>
    <hyperlink ref="P29" r:id="rId15" display="http://www.konkoly.hu/cgi-bin/IBVS?225" xr:uid="{00000000-0004-0000-0100-00000E000000}"/>
    <hyperlink ref="P30" r:id="rId16" display="http://www.konkoly.hu/cgi-bin/IBVS?225" xr:uid="{00000000-0004-0000-0100-00000F000000}"/>
    <hyperlink ref="P31" r:id="rId17" display="http://vsolj.cetus-net.org/no39.pdf" xr:uid="{00000000-0004-0000-0100-000010000000}"/>
    <hyperlink ref="P32" r:id="rId18" display="http://vsolj.cetus-net.org/no40.pdf" xr:uid="{00000000-0004-0000-0100-000011000000}"/>
    <hyperlink ref="P33" r:id="rId19" display="http://vsolj.cetus-net.org/no42.pdf" xr:uid="{00000000-0004-0000-0100-000012000000}"/>
    <hyperlink ref="P11" r:id="rId20" display="http://www.konkoly.hu/cgi-bin/IBVS?5677" xr:uid="{00000000-0004-0000-0100-000013000000}"/>
    <hyperlink ref="P12" r:id="rId21" display="http://www.konkoly.hu/cgi-bin/IBVS?5690" xr:uid="{00000000-0004-0000-0100-000014000000}"/>
    <hyperlink ref="P34" r:id="rId22" display="http://vsolj.cetus-net.org/no44.pdf" xr:uid="{00000000-0004-0000-0100-000015000000}"/>
    <hyperlink ref="P13" r:id="rId23" display="http://www.konkoly.hu/cgi-bin/IBVS?5843" xr:uid="{00000000-0004-0000-0100-000016000000}"/>
    <hyperlink ref="P14" r:id="rId24" display="http://www.konkoly.hu/cgi-bin/IBVS?5871" xr:uid="{00000000-0004-0000-0100-000017000000}"/>
    <hyperlink ref="P35" r:id="rId25" display="http://vsolj.cetus-net.org/no48.pdf" xr:uid="{00000000-0004-0000-0100-000018000000}"/>
    <hyperlink ref="P36" r:id="rId26" display="http://vsolj.cetus-net.org/vsoljno51.pdf" xr:uid="{00000000-0004-0000-0100-000019000000}"/>
    <hyperlink ref="P37" r:id="rId27" display="http://vsolj.cetus-net.org/vsoljno56.pdf" xr:uid="{00000000-0004-0000-0100-00001A000000}"/>
    <hyperlink ref="P38" r:id="rId28" display="http://vsolj.cetus-net.org/vsoljno59.pdf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2023-08-19T07:56:46Z</dcterms:modified>
</cp:coreProperties>
</file>