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121F7A6-4B0B-4008-9869-4E355D8AEDA7}" xr6:coauthVersionLast="47" xr6:coauthVersionMax="47" xr10:uidLastSave="{00000000-0000-0000-0000-000000000000}"/>
  <bookViews>
    <workbookView xWindow="14745" yWindow="315" windowWidth="13995" windowHeight="143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0" i="1" l="1"/>
  <c r="F50" i="1" s="1"/>
  <c r="G50" i="1" s="1"/>
  <c r="K50" i="1" s="1"/>
  <c r="Q50" i="1"/>
  <c r="E51" i="1"/>
  <c r="F51" i="1" s="1"/>
  <c r="G51" i="1" s="1"/>
  <c r="K51" i="1" s="1"/>
  <c r="Q51" i="1"/>
  <c r="Q49" i="1"/>
  <c r="Q47" i="1"/>
  <c r="Q48" i="1"/>
  <c r="Q46" i="1"/>
  <c r="Q44" i="1"/>
  <c r="Q43" i="1"/>
  <c r="Q42" i="1"/>
  <c r="Q41" i="1"/>
  <c r="Q32" i="1"/>
  <c r="D9" i="1"/>
  <c r="C9" i="1"/>
  <c r="G25" i="2"/>
  <c r="C25" i="2"/>
  <c r="G24" i="2"/>
  <c r="C24" i="2"/>
  <c r="E24" i="2"/>
  <c r="G23" i="2"/>
  <c r="C23" i="2"/>
  <c r="G22" i="2"/>
  <c r="C22" i="2"/>
  <c r="G21" i="2"/>
  <c r="C21" i="2"/>
  <c r="G26" i="2"/>
  <c r="C26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E1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6" i="2"/>
  <c r="B26" i="2"/>
  <c r="D26" i="2"/>
  <c r="A26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5" i="1"/>
  <c r="Q39" i="1"/>
  <c r="Q40" i="1"/>
  <c r="Q29" i="1"/>
  <c r="Q37" i="1"/>
  <c r="Q38" i="1"/>
  <c r="Q36" i="1"/>
  <c r="Q35" i="1"/>
  <c r="Q31" i="1"/>
  <c r="Q30" i="1"/>
  <c r="Q26" i="1"/>
  <c r="Q24" i="1"/>
  <c r="Q33" i="1"/>
  <c r="Q28" i="1"/>
  <c r="Q34" i="1"/>
  <c r="Q27" i="1"/>
  <c r="F16" i="1"/>
  <c r="C17" i="1"/>
  <c r="Q25" i="1"/>
  <c r="Q22" i="1"/>
  <c r="Q23" i="1"/>
  <c r="C7" i="1"/>
  <c r="E49" i="1"/>
  <c r="F49" i="1" s="1"/>
  <c r="G49" i="1" s="1"/>
  <c r="K49" i="1" s="1"/>
  <c r="C8" i="1"/>
  <c r="Q21" i="1"/>
  <c r="E39" i="1"/>
  <c r="F39" i="1"/>
  <c r="G39" i="1" s="1"/>
  <c r="K39" i="1" s="1"/>
  <c r="E31" i="1"/>
  <c r="F31" i="1" s="1"/>
  <c r="G31" i="1" s="1"/>
  <c r="J31" i="1" s="1"/>
  <c r="E42" i="1"/>
  <c r="F42" i="1"/>
  <c r="G42" i="1" s="1"/>
  <c r="K42" i="1" s="1"/>
  <c r="E30" i="1"/>
  <c r="F30" i="1" s="1"/>
  <c r="G30" i="1" s="1"/>
  <c r="J30" i="1" s="1"/>
  <c r="E22" i="1"/>
  <c r="F22" i="1"/>
  <c r="E45" i="1"/>
  <c r="F45" i="1"/>
  <c r="E37" i="1"/>
  <c r="F37" i="1"/>
  <c r="E33" i="1"/>
  <c r="F33" i="1" s="1"/>
  <c r="G33" i="1" s="1"/>
  <c r="K33" i="1" s="1"/>
  <c r="E29" i="1"/>
  <c r="F29" i="1"/>
  <c r="G29" i="1" s="1"/>
  <c r="K29" i="1" s="1"/>
  <c r="E25" i="1"/>
  <c r="E14" i="2" s="1"/>
  <c r="E40" i="1"/>
  <c r="F40" i="1" s="1"/>
  <c r="G40" i="1" s="1"/>
  <c r="K40" i="1" s="1"/>
  <c r="E32" i="1"/>
  <c r="F32" i="1" s="1"/>
  <c r="G32" i="1" s="1"/>
  <c r="K32" i="1" s="1"/>
  <c r="E24" i="1"/>
  <c r="E13" i="2" s="1"/>
  <c r="F24" i="1"/>
  <c r="G24" i="1" s="1"/>
  <c r="J24" i="1" s="1"/>
  <c r="E17" i="2"/>
  <c r="E48" i="1"/>
  <c r="F48" i="1" s="1"/>
  <c r="G48" i="1" s="1"/>
  <c r="K48" i="1" s="1"/>
  <c r="E43" i="1"/>
  <c r="F43" i="1" s="1"/>
  <c r="G43" i="1" s="1"/>
  <c r="K43" i="1" s="1"/>
  <c r="G37" i="1"/>
  <c r="K37" i="1"/>
  <c r="G22" i="1"/>
  <c r="K22" i="1" s="1"/>
  <c r="E28" i="1"/>
  <c r="F28" i="1"/>
  <c r="G28" i="1" s="1"/>
  <c r="K28" i="1" s="1"/>
  <c r="E36" i="1"/>
  <c r="F36" i="1" s="1"/>
  <c r="G36" i="1" s="1"/>
  <c r="K36" i="1" s="1"/>
  <c r="E44" i="1"/>
  <c r="F44" i="1"/>
  <c r="G44" i="1" s="1"/>
  <c r="K44" i="1" s="1"/>
  <c r="E26" i="1"/>
  <c r="F26" i="1" s="1"/>
  <c r="G26" i="1" s="1"/>
  <c r="J26" i="1" s="1"/>
  <c r="E34" i="1"/>
  <c r="E22" i="2" s="1"/>
  <c r="F34" i="1"/>
  <c r="G34" i="1" s="1"/>
  <c r="L34" i="1" s="1"/>
  <c r="E23" i="1"/>
  <c r="F23" i="1" s="1"/>
  <c r="G23" i="1" s="1"/>
  <c r="K23" i="1" s="1"/>
  <c r="E46" i="1"/>
  <c r="F46" i="1"/>
  <c r="G46" i="1" s="1"/>
  <c r="K46" i="1" s="1"/>
  <c r="E41" i="1"/>
  <c r="F41" i="1"/>
  <c r="G41" i="1"/>
  <c r="K41" i="1" s="1"/>
  <c r="E38" i="1"/>
  <c r="E35" i="1"/>
  <c r="F35" i="1" s="1"/>
  <c r="G35" i="1" s="1"/>
  <c r="K35" i="1" s="1"/>
  <c r="E21" i="1"/>
  <c r="F21" i="1" s="1"/>
  <c r="G21" i="1" s="1"/>
  <c r="H21" i="1" s="1"/>
  <c r="E27" i="1"/>
  <c r="F27" i="1" s="1"/>
  <c r="G27" i="1" s="1"/>
  <c r="K27" i="1" s="1"/>
  <c r="G45" i="1"/>
  <c r="L45" i="1" s="1"/>
  <c r="E47" i="1"/>
  <c r="F47" i="1"/>
  <c r="G47" i="1" s="1"/>
  <c r="K47" i="1" s="1"/>
  <c r="F38" i="1"/>
  <c r="G38" i="1"/>
  <c r="K38" i="1" s="1"/>
  <c r="E25" i="2"/>
  <c r="E12" i="2" l="1"/>
  <c r="E26" i="2"/>
  <c r="E16" i="2"/>
  <c r="E19" i="2"/>
  <c r="E15" i="2"/>
  <c r="E21" i="2"/>
  <c r="E23" i="2"/>
  <c r="F25" i="1"/>
  <c r="G25" i="1" s="1"/>
  <c r="E20" i="2"/>
  <c r="F17" i="1"/>
  <c r="C12" i="1"/>
  <c r="C11" i="1"/>
  <c r="O51" i="1" l="1"/>
  <c r="O35" i="1"/>
  <c r="O24" i="1"/>
  <c r="O41" i="1"/>
  <c r="O48" i="1"/>
  <c r="O25" i="1"/>
  <c r="O36" i="1"/>
  <c r="O40" i="1"/>
  <c r="O45" i="1"/>
  <c r="C15" i="1"/>
  <c r="C18" i="1" s="1"/>
  <c r="O42" i="1"/>
  <c r="O33" i="1"/>
  <c r="O29" i="1"/>
  <c r="O49" i="1"/>
  <c r="O44" i="1"/>
  <c r="O30" i="1"/>
  <c r="O32" i="1"/>
  <c r="O38" i="1"/>
  <c r="O27" i="1"/>
  <c r="O22" i="1"/>
  <c r="O39" i="1"/>
  <c r="O47" i="1"/>
  <c r="O43" i="1"/>
  <c r="O21" i="1"/>
  <c r="O34" i="1"/>
  <c r="O46" i="1"/>
  <c r="O23" i="1"/>
  <c r="O28" i="1"/>
  <c r="O50" i="1"/>
  <c r="O37" i="1"/>
  <c r="O26" i="1"/>
  <c r="O31" i="1"/>
  <c r="C16" i="1"/>
  <c r="D18" i="1" s="1"/>
  <c r="K25" i="1"/>
  <c r="F18" i="1" l="1"/>
  <c r="F19" i="1" s="1"/>
</calcChain>
</file>

<file path=xl/sharedStrings.xml><?xml version="1.0" encoding="utf-8"?>
<sst xmlns="http://schemas.openxmlformats.org/spreadsheetml/2006/main" count="247" uniqueCount="144">
  <si>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</si>
  <si>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</si>
  <si>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</si>
  <si>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</si>
  <si>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</si>
  <si>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</si>
  <si>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</si>
  <si>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</si>
  <si>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</si>
  <si>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</si>
  <si>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</si>
  <si>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</si>
  <si>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</si>
  <si>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</si>
  <si>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</si>
  <si>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</si>
  <si>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</si>
  <si>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</si>
  <si>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</si>
  <si>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</si>
  <si>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</si>
  <si>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</si>
  <si>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</si>
  <si>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</si>
  <si>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</si>
  <si>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</si>
  <si>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</si>
  <si>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</si>
  <si>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</si>
  <si>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</si>
  <si>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</si>
  <si>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</si>
  <si>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</si>
  <si>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</si>
  <si>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IU Cnc / GSC 0817-2254</t>
  </si>
  <si>
    <t>EW</t>
  </si>
  <si>
    <t>IBVS 5894</t>
  </si>
  <si>
    <t>I</t>
  </si>
  <si>
    <t>IBVS 5945</t>
  </si>
  <si>
    <t>Add cycle</t>
  </si>
  <si>
    <t>Old Cycle</t>
  </si>
  <si>
    <t>OEJV 0137</t>
  </si>
  <si>
    <t>Nelson</t>
  </si>
  <si>
    <t>IBVS 5992</t>
  </si>
  <si>
    <t>II</t>
  </si>
  <si>
    <t>IBVS 6010</t>
  </si>
  <si>
    <t>IBVS 6018</t>
  </si>
  <si>
    <t>IBVS 6029</t>
  </si>
  <si>
    <t>OEJV 0160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</si>
  <si>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</si>
  <si>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</si>
  <si>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</si>
  <si>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</si>
  <si>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</si>
  <si>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</si>
  <si>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</si>
  <si>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</si>
  <si>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</si>
  <si>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</si>
  <si>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</si>
  <si>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</si>
  <si>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</si>
  <si>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2454833.9050 </t>
  </si>
  <si>
    <t> 02.01.2009 09:43 </t>
  </si>
  <si>
    <t> -0.0081 </t>
  </si>
  <si>
    <t>C </t>
  </si>
  <si>
    <t> R.Diethelm </t>
  </si>
  <si>
    <t>IBVS 5894 </t>
  </si>
  <si>
    <t>2454839.8092 </t>
  </si>
  <si>
    <t> 08.01.2009 07:25 </t>
  </si>
  <si>
    <t> -0.0069 </t>
  </si>
  <si>
    <t>2455244.3755 </t>
  </si>
  <si>
    <t> 16.02.2010 21:00 </t>
  </si>
  <si>
    <t> -0.0114 </t>
  </si>
  <si>
    <t>-I</t>
  </si>
  <si>
    <t> K.&amp; M.Rätz </t>
  </si>
  <si>
    <t>BAVM 220 </t>
  </si>
  <si>
    <t>2455245.8507 </t>
  </si>
  <si>
    <t> 18.02.2010 08:25 </t>
  </si>
  <si>
    <t>8574</t>
  </si>
  <si>
    <t> -0.0120 </t>
  </si>
  <si>
    <t>IBVS 5945 </t>
  </si>
  <si>
    <t>2455260.3969 </t>
  </si>
  <si>
    <t> 04.03.2010 21:31 </t>
  </si>
  <si>
    <t>8608.5</t>
  </si>
  <si>
    <t> -0.0126 </t>
  </si>
  <si>
    <t>2455286.32966 </t>
  </si>
  <si>
    <t> 30.03.2010 19:54 </t>
  </si>
  <si>
    <t>8670</t>
  </si>
  <si>
    <t> -0.01117 </t>
  </si>
  <si>
    <t> L.Smelcer </t>
  </si>
  <si>
    <t>OEJV 0137 </t>
  </si>
  <si>
    <t>2455580.8454 </t>
  </si>
  <si>
    <t> 19.01.2011 08:17 </t>
  </si>
  <si>
    <t>9368.5</t>
  </si>
  <si>
    <t> -0.0162 </t>
  </si>
  <si>
    <t>IBVS 5992 </t>
  </si>
  <si>
    <t>2455617.31918 </t>
  </si>
  <si>
    <t> 24.02.2011 19:39 </t>
  </si>
  <si>
    <t>9455</t>
  </si>
  <si>
    <t> -0.01493 </t>
  </si>
  <si>
    <t> V.P?ibik </t>
  </si>
  <si>
    <t>OEJV 0160 </t>
  </si>
  <si>
    <t>2455621.3208 </t>
  </si>
  <si>
    <t> 28.02.2011 19:41 </t>
  </si>
  <si>
    <t>9464.5</t>
  </si>
  <si>
    <t> -0.0190 </t>
  </si>
  <si>
    <t> F.Agerer </t>
  </si>
  <si>
    <t>2455621.5365 </t>
  </si>
  <si>
    <t> 01.03.2011 00:52 </t>
  </si>
  <si>
    <t> -0.0141 </t>
  </si>
  <si>
    <t>2455626.3803 </t>
  </si>
  <si>
    <t> 05.03.2011 21:07 </t>
  </si>
  <si>
    <t> -0.0192 </t>
  </si>
  <si>
    <t> M.&amp; K.Rätz </t>
  </si>
  <si>
    <t>BAVM 225 </t>
  </si>
  <si>
    <t>2455667.7032 </t>
  </si>
  <si>
    <t> 16.04.2011 04:52 </t>
  </si>
  <si>
    <t> -0.0178 </t>
  </si>
  <si>
    <t>2455909.937 </t>
  </si>
  <si>
    <t> 14.12.2011 10:29 </t>
  </si>
  <si>
    <t> -0.020 </t>
  </si>
  <si>
    <t> R.Nelson </t>
  </si>
  <si>
    <t>IBVS 6018 </t>
  </si>
  <si>
    <t>2456002.7006 </t>
  </si>
  <si>
    <t> 16.03.2012 04:48 </t>
  </si>
  <si>
    <t> -0.0193 </t>
  </si>
  <si>
    <t>IBVS 6029 </t>
  </si>
  <si>
    <t>2456015.34723 </t>
  </si>
  <si>
    <t> 28.03.2012 20:20 </t>
  </si>
  <si>
    <t> -0.02212 </t>
  </si>
  <si>
    <t>R</t>
  </si>
  <si>
    <t> M.Lehky </t>
  </si>
  <si>
    <t>2456330.52195 </t>
  </si>
  <si>
    <t> 07.02.2013 00:31 </t>
  </si>
  <si>
    <t> -0.02891 </t>
  </si>
  <si>
    <t>IBVS 6195</t>
  </si>
  <si>
    <t>OEJV 0179</t>
  </si>
  <si>
    <t>JAVSO..45..121</t>
  </si>
  <si>
    <t>JAVSO..45..215</t>
  </si>
  <si>
    <t>VSB-64</t>
  </si>
  <si>
    <t>VSB 067</t>
  </si>
  <si>
    <t>JAAVSO, 50, 255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</si>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</sst>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39" fillId="0" borderId="0" xfId="0" applyFont="1" applyAlignment="1"/>
    <xf numFmtId="0" fontId="37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42" applyFont="1" applyAlignment="1">
      <alignment horizontal="left" vertical="center"/>
    </xf>
    <xf numFmtId="0" fontId="40" fillId="0" borderId="0" xfId="42" applyFont="1" applyAlignment="1">
      <alignment horizontal="center" vertical="center"/>
    </xf>
    <xf numFmtId="0" fontId="40" fillId="0" borderId="0" xfId="42" applyFont="1" applyAlignment="1">
      <alignment horizontal="left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66" fontId="41" fillId="0" borderId="0" xfId="0" applyNumberFormat="1" applyFont="1" applyAlignment="1">
      <alignment vertical="center" wrapText="1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locked="0"/>
    </xf>
    <xf numFmtId="166" fontId="41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0-4EEF-9955-BD9AD213A6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0-4EEF-9955-BD9AD213A6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-1.1398750000807922E-2</c:v>
                </c:pt>
                <c:pt idx="5">
                  <c:v>-1.2603750001289882E-2</c:v>
                </c:pt>
                <c:pt idx="9">
                  <c:v>-1.8963750000693835E-2</c:v>
                </c:pt>
                <c:pt idx="10">
                  <c:v>-1.4087499999732245E-2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0-4EEF-9955-BD9AD213A6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-8.0575000029057264E-3</c:v>
                </c:pt>
                <c:pt idx="2">
                  <c:v>-6.9224999970174395E-3</c:v>
                </c:pt>
                <c:pt idx="4">
                  <c:v>-1.1964999997871928E-2</c:v>
                </c:pt>
                <c:pt idx="6">
                  <c:v>-1.1164999996253755E-2</c:v>
                </c:pt>
                <c:pt idx="7">
                  <c:v>-1.6203749997657724E-2</c:v>
                </c:pt>
                <c:pt idx="8">
                  <c:v>-1.4932500002032612E-2</c:v>
                </c:pt>
                <c:pt idx="11">
                  <c:v>-1.9233750004786998E-2</c:v>
                </c:pt>
                <c:pt idx="12">
                  <c:v>-1.7788749995816033E-2</c:v>
                </c:pt>
                <c:pt idx="14">
                  <c:v>-2.0477500002016313E-2</c:v>
                </c:pt>
                <c:pt idx="15">
                  <c:v>-1.9327500005601905E-2</c:v>
                </c:pt>
                <c:pt idx="16">
                  <c:v>-2.2122499998658895E-2</c:v>
                </c:pt>
                <c:pt idx="17">
                  <c:v>-2.8908749998663552E-2</c:v>
                </c:pt>
                <c:pt idx="18">
                  <c:v>-2.4168750001990702E-2</c:v>
                </c:pt>
                <c:pt idx="19">
                  <c:v>-2.727749999758089E-2</c:v>
                </c:pt>
                <c:pt idx="20">
                  <c:v>-2.8996250002819579E-2</c:v>
                </c:pt>
                <c:pt idx="21">
                  <c:v>-2.5849999998172279E-2</c:v>
                </c:pt>
                <c:pt idx="22">
                  <c:v>-2.5204999998095445E-2</c:v>
                </c:pt>
                <c:pt idx="23">
                  <c:v>-2.8863750005257316E-2</c:v>
                </c:pt>
                <c:pt idx="25">
                  <c:v>-3.1499999997322448E-2</c:v>
                </c:pt>
                <c:pt idx="26">
                  <c:v>-2.9876250002416782E-2</c:v>
                </c:pt>
                <c:pt idx="27">
                  <c:v>-3.0445000003965106E-2</c:v>
                </c:pt>
                <c:pt idx="28">
                  <c:v>-2.8518749997601844E-2</c:v>
                </c:pt>
                <c:pt idx="29">
                  <c:v>-2.9027499855146743E-2</c:v>
                </c:pt>
                <c:pt idx="30">
                  <c:v>-2.9819999996107072E-2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0-4EEF-9955-BD9AD213A6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3">
                  <c:v>-2.0477500002016313E-2</c:v>
                </c:pt>
                <c:pt idx="24">
                  <c:v>-2.9715000004216563E-2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0-4EEF-9955-BD9AD213A6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0-4EEF-9955-BD9AD213A6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0-4EEF-9955-BD9AD213A6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2.7301505842393242E-3</c:v>
                </c:pt>
                <c:pt idx="1">
                  <c:v>-1.3243385646683498E-2</c:v>
                </c:pt>
                <c:pt idx="2">
                  <c:v>-1.3272822201538432E-2</c:v>
                </c:pt>
                <c:pt idx="3">
                  <c:v>-1.5290277514631818E-2</c:v>
                </c:pt>
                <c:pt idx="4">
                  <c:v>-1.5297636653345551E-2</c:v>
                </c:pt>
                <c:pt idx="5">
                  <c:v>-1.5370176734952348E-2</c:v>
                </c:pt>
                <c:pt idx="6">
                  <c:v>-1.5499487315207942E-2</c:v>
                </c:pt>
                <c:pt idx="7">
                  <c:v>-1.6968161141362952E-2</c:v>
                </c:pt>
                <c:pt idx="8">
                  <c:v>-1.7150036998145209E-2</c:v>
                </c:pt>
                <c:pt idx="9">
                  <c:v>-1.7170011803225343E-2</c:v>
                </c:pt>
                <c:pt idx="10">
                  <c:v>-1.7171063108755876E-2</c:v>
                </c:pt>
                <c:pt idx="11">
                  <c:v>-1.719524313595814E-2</c:v>
                </c:pt>
                <c:pt idx="12">
                  <c:v>-1.7401299019942664E-2</c:v>
                </c:pt>
                <c:pt idx="13">
                  <c:v>-1.8609249074525418E-2</c:v>
                </c:pt>
                <c:pt idx="14">
                  <c:v>-1.8609249074525418E-2</c:v>
                </c:pt>
                <c:pt idx="15">
                  <c:v>-1.9071823507960065E-2</c:v>
                </c:pt>
                <c:pt idx="16">
                  <c:v>-1.9134901839792062E-2</c:v>
                </c:pt>
                <c:pt idx="17">
                  <c:v>-2.0706603607939331E-2</c:v>
                </c:pt>
                <c:pt idx="18">
                  <c:v>-2.0706603607939331E-2</c:v>
                </c:pt>
                <c:pt idx="19">
                  <c:v>-2.2267792320781271E-2</c:v>
                </c:pt>
                <c:pt idx="20">
                  <c:v>-2.4291555467057854E-2</c:v>
                </c:pt>
                <c:pt idx="21">
                  <c:v>-2.4292606772588387E-2</c:v>
                </c:pt>
                <c:pt idx="22">
                  <c:v>-2.429681199471052E-2</c:v>
                </c:pt>
                <c:pt idx="23">
                  <c:v>-2.4630075847889576E-2</c:v>
                </c:pt>
                <c:pt idx="24">
                  <c:v>-2.6357370834555773E-2</c:v>
                </c:pt>
                <c:pt idx="25">
                  <c:v>-2.7883866464890109E-2</c:v>
                </c:pt>
                <c:pt idx="26">
                  <c:v>-2.8135128486687568E-2</c:v>
                </c:pt>
                <c:pt idx="27">
                  <c:v>-2.8266541678004228E-2</c:v>
                </c:pt>
                <c:pt idx="28">
                  <c:v>-3.1589718460019962E-2</c:v>
                </c:pt>
                <c:pt idx="29">
                  <c:v>-3.6901965305804682E-2</c:v>
                </c:pt>
                <c:pt idx="30">
                  <c:v>-3.7118534245094537E-2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0-4EEF-9955-BD9AD213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08800"/>
        <c:axId val="1"/>
      </c:scatterChart>
      <c:valAx>
        <c:axId val="82970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08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97937099967764"/>
          <c:w val="0.658646616541353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A476D8E-F2A3-0589-53EE-1CE26EF38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018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894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45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30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t="s">
        <v>35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51630.656999999999</v>
      </c>
      <c r="D4" s="9">
        <v>0.42164750000000001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f>+C4</f>
        <v>51630.656999999999</v>
      </c>
    </row>
    <row r="8" spans="1:6">
      <c r="A8" t="s">
        <v>3</v>
      </c>
      <c r="C8">
        <f>+D4</f>
        <v>0.42164750000000001</v>
      </c>
    </row>
    <row r="9" spans="1:6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2.7301505842393242E-3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-2.1026110610665821E-6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59621.683301465753</v>
      </c>
      <c r="E15" s="16" t="s">
        <v>39</v>
      </c>
      <c r="F15" s="13">
        <v>1</v>
      </c>
    </row>
    <row r="16" spans="1:6">
      <c r="A16" s="18" t="s">
        <v>4</v>
      </c>
      <c r="B16" s="12"/>
      <c r="C16" s="19">
        <f ca="1">+C8+C12</f>
        <v>0.42164539738893897</v>
      </c>
      <c r="E16" s="16" t="s">
        <v>30</v>
      </c>
      <c r="F16" s="17">
        <f ca="1">NOW()+15018.5+$C$5/24</f>
        <v>60177.698115277773</v>
      </c>
    </row>
    <row r="17" spans="1:17" ht="13.5" thickBot="1">
      <c r="A17" s="16" t="s">
        <v>27</v>
      </c>
      <c r="B17" s="12"/>
      <c r="C17" s="12">
        <f>COUNT(C21:C2191)</f>
        <v>31</v>
      </c>
      <c r="E17" s="16" t="s">
        <v>40</v>
      </c>
      <c r="F17" s="17">
        <f ca="1">ROUND(2*(F16-$C$7)/$C$8,0)/2+F15</f>
        <v>20271.5</v>
      </c>
    </row>
    <row r="18" spans="1:17" ht="14.25" thickTop="1" thickBot="1">
      <c r="A18" s="18" t="s">
        <v>5</v>
      </c>
      <c r="B18" s="12"/>
      <c r="C18" s="21">
        <f ca="1">+C15</f>
        <v>59621.683301465753</v>
      </c>
      <c r="D18" s="22">
        <f ca="1">+C16</f>
        <v>0.42164539738893897</v>
      </c>
      <c r="E18" s="16" t="s">
        <v>31</v>
      </c>
      <c r="F18" s="25">
        <f ca="1">ROUND(2*(F16-$C$15)/$C$16,0)/2+F15</f>
        <v>1319.5</v>
      </c>
    </row>
    <row r="19" spans="1:17" ht="13.5" thickTop="1">
      <c r="E19" s="16" t="s">
        <v>32</v>
      </c>
      <c r="F19" s="20">
        <f ca="1">+$C$15+$C$16*F18-15018.5-$C$5/24</f>
        <v>45159.940236653791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42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51630.656999999999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2.7301505842393242E-3</v>
      </c>
      <c r="Q21" s="2">
        <f>+C21-15018.5</f>
        <v>36612.156999999999</v>
      </c>
    </row>
    <row r="22" spans="1:17">
      <c r="A22" s="28" t="s">
        <v>36</v>
      </c>
      <c r="B22" s="29" t="s">
        <v>37</v>
      </c>
      <c r="C22" s="28">
        <v>54833.904999999999</v>
      </c>
      <c r="D22" s="28">
        <v>4.0000000000000002E-4</v>
      </c>
      <c r="E22">
        <f>+(C22-C$7)/C$8</f>
        <v>7596.9808904357305</v>
      </c>
      <c r="F22">
        <f>ROUND(2*E22,0)/2</f>
        <v>7597</v>
      </c>
      <c r="G22">
        <f>+C22-(C$7+F22*C$8)</f>
        <v>-8.0575000029057264E-3</v>
      </c>
      <c r="K22">
        <f>+G22</f>
        <v>-8.0575000029057264E-3</v>
      </c>
      <c r="O22">
        <f ca="1">+C$11+C$12*$F22</f>
        <v>-1.3243385646683498E-2</v>
      </c>
      <c r="Q22" s="2">
        <f>+C22-15018.5</f>
        <v>39815.404999999999</v>
      </c>
    </row>
    <row r="23" spans="1:17">
      <c r="A23" s="28" t="s">
        <v>36</v>
      </c>
      <c r="B23" s="29" t="s">
        <v>37</v>
      </c>
      <c r="C23" s="28">
        <v>54839.809200000003</v>
      </c>
      <c r="D23" s="28">
        <v>2.0000000000000001E-4</v>
      </c>
      <c r="E23">
        <f>+(C23-C$7)/C$8</f>
        <v>7610.9835822577015</v>
      </c>
      <c r="F23">
        <f>ROUND(2*E23,0)/2</f>
        <v>7611</v>
      </c>
      <c r="G23">
        <f>+C23-(C$7+F23*C$8)</f>
        <v>-6.9224999970174395E-3</v>
      </c>
      <c r="K23">
        <f>+G23</f>
        <v>-6.9224999970174395E-3</v>
      </c>
      <c r="O23">
        <f ca="1">+C$11+C$12*$F23</f>
        <v>-1.3272822201538432E-2</v>
      </c>
      <c r="Q23" s="2">
        <f>+C23-15018.5</f>
        <v>39821.309200000003</v>
      </c>
    </row>
    <row r="24" spans="1:17">
      <c r="A24" s="30" t="s">
        <v>45</v>
      </c>
      <c r="B24" s="31" t="s">
        <v>44</v>
      </c>
      <c r="C24" s="30">
        <v>55244.375500000002</v>
      </c>
      <c r="D24" s="30">
        <v>1E-3</v>
      </c>
      <c r="E24">
        <f>+(C24-C$7)/C$8</f>
        <v>8570.4729661625006</v>
      </c>
      <c r="F24">
        <f>ROUND(2*E24,0)/2</f>
        <v>8570.5</v>
      </c>
      <c r="G24">
        <f>+C24-(C$7+F24*C$8)</f>
        <v>-1.1398750000807922E-2</v>
      </c>
      <c r="J24">
        <f>+G24</f>
        <v>-1.1398750000807922E-2</v>
      </c>
      <c r="O24">
        <f ca="1">+C$11+C$12*$F24</f>
        <v>-1.5290277514631818E-2</v>
      </c>
      <c r="Q24" s="2">
        <f>+C24-15018.5</f>
        <v>40225.875500000002</v>
      </c>
    </row>
    <row r="25" spans="1:17">
      <c r="A25" s="30" t="s">
        <v>38</v>
      </c>
      <c r="B25" s="31" t="s">
        <v>37</v>
      </c>
      <c r="C25" s="30">
        <v>55245.850700000003</v>
      </c>
      <c r="D25" s="30">
        <v>2.9999999999999997E-4</v>
      </c>
      <c r="E25">
        <f>+(C25-C$7)/C$8</f>
        <v>8573.9716232160827</v>
      </c>
      <c r="F25">
        <f>ROUND(2*E25,0)/2</f>
        <v>8574</v>
      </c>
      <c r="G25">
        <f>+C25-(C$7+F25*C$8)</f>
        <v>-1.1964999997871928E-2</v>
      </c>
      <c r="K25">
        <f>+G25</f>
        <v>-1.1964999997871928E-2</v>
      </c>
      <c r="O25">
        <f ca="1">+C$11+C$12*$F25</f>
        <v>-1.5297636653345551E-2</v>
      </c>
      <c r="Q25" s="2">
        <f>+C25-15018.5</f>
        <v>40227.350700000003</v>
      </c>
    </row>
    <row r="26" spans="1:17">
      <c r="A26" s="30" t="s">
        <v>45</v>
      </c>
      <c r="B26" s="31" t="s">
        <v>44</v>
      </c>
      <c r="C26" s="30">
        <v>55260.3969</v>
      </c>
      <c r="D26" s="30">
        <v>2.0000000000000001E-4</v>
      </c>
      <c r="E26">
        <f>+(C26-C$7)/C$8</f>
        <v>8608.4701083250839</v>
      </c>
      <c r="F26">
        <f>ROUND(2*E26,0)/2</f>
        <v>8608.5</v>
      </c>
      <c r="G26">
        <f>+C26-(C$7+F26*C$8)</f>
        <v>-1.2603750001289882E-2</v>
      </c>
      <c r="J26">
        <f>+G26</f>
        <v>-1.2603750001289882E-2</v>
      </c>
      <c r="O26">
        <f ca="1">+C$11+C$12*$F26</f>
        <v>-1.5370176734952348E-2</v>
      </c>
      <c r="Q26" s="2">
        <f>+C26-15018.5</f>
        <v>40241.8969</v>
      </c>
    </row>
    <row r="27" spans="1:17">
      <c r="A27" s="32" t="s">
        <v>41</v>
      </c>
      <c r="B27" s="29" t="s">
        <v>37</v>
      </c>
      <c r="C27" s="28">
        <v>55286.329660000003</v>
      </c>
      <c r="D27" s="28">
        <v>2.0000000000000001E-4</v>
      </c>
      <c r="E27">
        <f>+(C27-C$7)/C$8</f>
        <v>8669.9735205355264</v>
      </c>
      <c r="F27">
        <f>ROUND(2*E27,0)/2</f>
        <v>8670</v>
      </c>
      <c r="G27">
        <f>+C27-(C$7+F27*C$8)</f>
        <v>-1.1164999996253755E-2</v>
      </c>
      <c r="K27">
        <f>+G27</f>
        <v>-1.1164999996253755E-2</v>
      </c>
      <c r="O27">
        <f ca="1">+C$11+C$12*$F27</f>
        <v>-1.5499487315207942E-2</v>
      </c>
      <c r="Q27" s="2">
        <f>+C27-15018.5</f>
        <v>40267.829660000003</v>
      </c>
    </row>
    <row r="28" spans="1:17">
      <c r="A28" s="30" t="s">
        <v>43</v>
      </c>
      <c r="B28" s="31" t="s">
        <v>44</v>
      </c>
      <c r="C28" s="30">
        <v>55580.845399999998</v>
      </c>
      <c r="D28" s="30">
        <v>5.0000000000000001E-4</v>
      </c>
      <c r="E28">
        <f>+(C28-C$7)/C$8</f>
        <v>9368.4615703875843</v>
      </c>
      <c r="F28">
        <f>ROUND(2*E28,0)/2</f>
        <v>9368.5</v>
      </c>
      <c r="G28">
        <f>+C28-(C$7+F28*C$8)</f>
        <v>-1.6203749997657724E-2</v>
      </c>
      <c r="K28">
        <f>+G28</f>
        <v>-1.6203749997657724E-2</v>
      </c>
      <c r="O28">
        <f ca="1">+C$11+C$12*$F28</f>
        <v>-1.6968161141362952E-2</v>
      </c>
      <c r="Q28" s="2">
        <f>+C28-15018.5</f>
        <v>40562.345399999998</v>
      </c>
    </row>
    <row r="29" spans="1:17">
      <c r="A29" s="35" t="s">
        <v>48</v>
      </c>
      <c r="B29" s="36" t="s">
        <v>37</v>
      </c>
      <c r="C29" s="37">
        <v>55617.319179999999</v>
      </c>
      <c r="D29" s="37">
        <v>4.0000000000000001E-3</v>
      </c>
      <c r="E29">
        <f>+(C29-C$7)/C$8</f>
        <v>9454.9645853467628</v>
      </c>
      <c r="F29">
        <f>ROUND(2*E29,0)/2</f>
        <v>9455</v>
      </c>
      <c r="G29">
        <f>+C29-(C$7+F29*C$8)</f>
        <v>-1.4932500002032612E-2</v>
      </c>
      <c r="K29">
        <f>+G29</f>
        <v>-1.4932500002032612E-2</v>
      </c>
      <c r="O29">
        <f ca="1">+C$11+C$12*$F29</f>
        <v>-1.7150036998145209E-2</v>
      </c>
      <c r="Q29" s="2">
        <f>+C29-15018.5</f>
        <v>40598.819179999999</v>
      </c>
    </row>
    <row r="30" spans="1:17">
      <c r="A30" s="30" t="s">
        <v>45</v>
      </c>
      <c r="B30" s="31" t="s">
        <v>44</v>
      </c>
      <c r="C30" s="30">
        <v>55621.320800000001</v>
      </c>
      <c r="D30" s="30">
        <v>2.3999999999999998E-3</v>
      </c>
      <c r="E30">
        <f>+(C30-C$7)/C$8</f>
        <v>9464.455024635512</v>
      </c>
      <c r="F30">
        <f>ROUND(2*E30,0)/2</f>
        <v>9464.5</v>
      </c>
      <c r="G30">
        <f>+C30-(C$7+F30*C$8)</f>
        <v>-1.8963750000693835E-2</v>
      </c>
      <c r="J30">
        <f>+G30</f>
        <v>-1.8963750000693835E-2</v>
      </c>
      <c r="O30">
        <f ca="1">+C$11+C$12*$F30</f>
        <v>-1.7170011803225343E-2</v>
      </c>
      <c r="Q30" s="2">
        <f>+C30-15018.5</f>
        <v>40602.820800000001</v>
      </c>
    </row>
    <row r="31" spans="1:17">
      <c r="A31" s="30" t="s">
        <v>45</v>
      </c>
      <c r="B31" s="31" t="s">
        <v>37</v>
      </c>
      <c r="C31" s="30">
        <v>55621.536500000002</v>
      </c>
      <c r="D31" s="30">
        <v>3.0000000000000001E-3</v>
      </c>
      <c r="E31">
        <f>+(C31-C$7)/C$8</f>
        <v>9464.966589390433</v>
      </c>
      <c r="F31">
        <f>ROUND(2*E31,0)/2</f>
        <v>9465</v>
      </c>
      <c r="G31">
        <f>+C31-(C$7+F31*C$8)</f>
        <v>-1.4087499999732245E-2</v>
      </c>
      <c r="J31">
        <f>+G31</f>
        <v>-1.4087499999732245E-2</v>
      </c>
      <c r="O31">
        <f ca="1">+C$11+C$12*$F31</f>
        <v>-1.7171063108755876E-2</v>
      </c>
      <c r="Q31" s="2">
        <f>+C31-15018.5</f>
        <v>40603.036500000002</v>
      </c>
    </row>
    <row r="32" spans="1:17">
      <c r="A32" s="51" t="s">
        <v>115</v>
      </c>
      <c r="B32" s="53" t="s">
        <v>44</v>
      </c>
      <c r="C32" s="52">
        <v>55626.380299999997</v>
      </c>
      <c r="D32" s="52" t="s">
        <v>61</v>
      </c>
      <c r="E32">
        <f>+(C32-C$7)/C$8</f>
        <v>9476.4543842901894</v>
      </c>
      <c r="F32">
        <f>ROUND(2*E32,0)/2</f>
        <v>9476.5</v>
      </c>
      <c r="G32">
        <f>+C32-(C$7+F32*C$8)</f>
        <v>-1.9233750004786998E-2</v>
      </c>
      <c r="K32">
        <f>+G32</f>
        <v>-1.9233750004786998E-2</v>
      </c>
      <c r="O32">
        <f ca="1">+C$11+C$12*$F32</f>
        <v>-1.719524313595814E-2</v>
      </c>
      <c r="Q32" s="2">
        <f>+C32-15018.5</f>
        <v>40607.880299999997</v>
      </c>
    </row>
    <row r="33" spans="1:17">
      <c r="A33" s="30" t="s">
        <v>43</v>
      </c>
      <c r="B33" s="31" t="s">
        <v>44</v>
      </c>
      <c r="C33" s="30">
        <v>55667.703200000004</v>
      </c>
      <c r="D33" s="30">
        <v>2.9999999999999997E-4</v>
      </c>
      <c r="E33">
        <f>+(C33-C$7)/C$8</f>
        <v>9574.4578113234493</v>
      </c>
      <c r="F33">
        <f>ROUND(2*E33,0)/2</f>
        <v>9574.5</v>
      </c>
      <c r="G33">
        <f>+C33-(C$7+F33*C$8)</f>
        <v>-1.7788749995816033E-2</v>
      </c>
      <c r="K33">
        <f>+G33</f>
        <v>-1.7788749995816033E-2</v>
      </c>
      <c r="O33">
        <f ca="1">+C$11+C$12*$F33</f>
        <v>-1.7401299019942664E-2</v>
      </c>
      <c r="Q33" s="2">
        <f>+C33-15018.5</f>
        <v>40649.203200000004</v>
      </c>
    </row>
    <row r="34" spans="1:17">
      <c r="A34" s="33" t="s">
        <v>46</v>
      </c>
      <c r="B34" s="34"/>
      <c r="C34" s="28">
        <v>55909.936999999998</v>
      </c>
      <c r="D34" s="28">
        <v>2.0000000000000001E-4</v>
      </c>
      <c r="E34">
        <f>+(C34-C$7)/C$8</f>
        <v>10148.951434551371</v>
      </c>
      <c r="F34">
        <f>ROUND(2*E34,0)/2</f>
        <v>10149</v>
      </c>
      <c r="G34">
        <f>+C34-(C$7+F34*C$8)</f>
        <v>-2.0477500002016313E-2</v>
      </c>
      <c r="L34">
        <f>+G34</f>
        <v>-2.0477500002016313E-2</v>
      </c>
      <c r="O34">
        <f ca="1">+C$11+C$12*$F34</f>
        <v>-1.8609249074525418E-2</v>
      </c>
      <c r="Q34" s="2">
        <f>+C34-15018.5</f>
        <v>40891.436999999998</v>
      </c>
    </row>
    <row r="35" spans="1:17">
      <c r="A35" s="28" t="s">
        <v>46</v>
      </c>
      <c r="B35" s="29" t="s">
        <v>37</v>
      </c>
      <c r="C35" s="28">
        <v>55909.936999999998</v>
      </c>
      <c r="D35" s="28">
        <v>2.0000000000000001E-4</v>
      </c>
      <c r="E35">
        <f>+(C35-C$7)/C$8</f>
        <v>10148.951434551371</v>
      </c>
      <c r="F35">
        <f>ROUND(2*E35,0)/2</f>
        <v>10149</v>
      </c>
      <c r="G35">
        <f>+C35-(C$7+F35*C$8)</f>
        <v>-2.0477500002016313E-2</v>
      </c>
      <c r="K35">
        <f>+G35</f>
        <v>-2.0477500002016313E-2</v>
      </c>
      <c r="O35">
        <f ca="1">+C$11+C$12*$F35</f>
        <v>-1.8609249074525418E-2</v>
      </c>
      <c r="Q35" s="2">
        <f>+C35-15018.5</f>
        <v>40891.436999999998</v>
      </c>
    </row>
    <row r="36" spans="1:17">
      <c r="A36" s="28" t="s">
        <v>47</v>
      </c>
      <c r="B36" s="29" t="s">
        <v>37</v>
      </c>
      <c r="C36" s="28">
        <v>56002.700599999996</v>
      </c>
      <c r="D36" s="28">
        <v>2.9999999999999997E-4</v>
      </c>
      <c r="E36">
        <f>+(C36-C$7)/C$8</f>
        <v>10368.954161948066</v>
      </c>
      <c r="F36">
        <f>ROUND(2*E36,0)/2</f>
        <v>10369</v>
      </c>
      <c r="G36">
        <f>+C36-(C$7+F36*C$8)</f>
        <v>-1.9327500005601905E-2</v>
      </c>
      <c r="K36">
        <f>+G36</f>
        <v>-1.9327500005601905E-2</v>
      </c>
      <c r="O36">
        <f ca="1">+C$11+C$12*$F36</f>
        <v>-1.9071823507960065E-2</v>
      </c>
      <c r="Q36" s="2">
        <f>+C36-15018.5</f>
        <v>40984.200599999996</v>
      </c>
    </row>
    <row r="37" spans="1:17">
      <c r="A37" s="32" t="s">
        <v>48</v>
      </c>
      <c r="B37" s="29" t="s">
        <v>37</v>
      </c>
      <c r="C37" s="28">
        <v>56015.347229999999</v>
      </c>
      <c r="D37" s="28">
        <v>2.9999999999999997E-4</v>
      </c>
      <c r="E37">
        <f>+(C37-C$7)/C$8</f>
        <v>10398.947533188268</v>
      </c>
      <c r="F37">
        <f>ROUND(2*E37,0)/2</f>
        <v>10399</v>
      </c>
      <c r="G37">
        <f>+C37-(C$7+F37*C$8)</f>
        <v>-2.2122499998658895E-2</v>
      </c>
      <c r="K37">
        <f>+G37</f>
        <v>-2.2122499998658895E-2</v>
      </c>
      <c r="O37">
        <f ca="1">+C$11+C$12*$F37</f>
        <v>-1.9134901839792062E-2</v>
      </c>
      <c r="Q37" s="2">
        <f>+C37-15018.5</f>
        <v>40996.847229999999</v>
      </c>
    </row>
    <row r="38" spans="1:17">
      <c r="A38" s="54" t="s">
        <v>48</v>
      </c>
      <c r="B38" s="55" t="s">
        <v>44</v>
      </c>
      <c r="C38" s="56">
        <v>56330.521950000002</v>
      </c>
      <c r="D38" s="56">
        <v>2.9999999999999997E-4</v>
      </c>
      <c r="E38">
        <f>+(C38-C$7)/C$8</f>
        <v>11146.431438583184</v>
      </c>
      <c r="F38">
        <f>ROUND(2*E38,0)/2</f>
        <v>11146.5</v>
      </c>
      <c r="G38">
        <f>+C38-(C$7+F38*C$8)</f>
        <v>-2.8908749998663552E-2</v>
      </c>
      <c r="K38">
        <f>+G38</f>
        <v>-2.8908749998663552E-2</v>
      </c>
      <c r="O38">
        <f ca="1">+C$11+C$12*$F38</f>
        <v>-2.0706603607939331E-2</v>
      </c>
      <c r="Q38" s="2">
        <f>+C38-15018.5</f>
        <v>41312.021950000002</v>
      </c>
    </row>
    <row r="39" spans="1:17">
      <c r="A39" s="56" t="s">
        <v>49</v>
      </c>
      <c r="B39" s="55"/>
      <c r="C39" s="56">
        <v>56330.526689999999</v>
      </c>
      <c r="D39" s="56">
        <v>3.2000000000000003E-4</v>
      </c>
      <c r="E39">
        <f>+(C39-C$7)/C$8</f>
        <v>11146.442680200877</v>
      </c>
      <c r="F39">
        <f>ROUND(2*E39,0)/2</f>
        <v>11146.5</v>
      </c>
      <c r="G39">
        <f>+C39-(C$7+F39*C$8)</f>
        <v>-2.4168750001990702E-2</v>
      </c>
      <c r="K39">
        <f>+G39</f>
        <v>-2.4168750001990702E-2</v>
      </c>
      <c r="O39">
        <f ca="1">+C$11+C$12*$F39</f>
        <v>-2.0706603607939331E-2</v>
      </c>
      <c r="Q39" s="2">
        <f>+C39-15018.5</f>
        <v>41312.026689999999</v>
      </c>
    </row>
    <row r="40" spans="1:17">
      <c r="A40" s="56" t="s">
        <v>50</v>
      </c>
      <c r="B40" s="55" t="s">
        <v>37</v>
      </c>
      <c r="C40" s="57">
        <v>56643.596850000002</v>
      </c>
      <c r="D40" s="56">
        <v>5.9999999999999995E-4</v>
      </c>
      <c r="E40">
        <f>+(C40-C$7)/C$8</f>
        <v>11888.935307336109</v>
      </c>
      <c r="F40">
        <f>ROUND(2*E40,0)/2</f>
        <v>11889</v>
      </c>
      <c r="G40">
        <f>+C40-(C$7+F40*C$8)</f>
        <v>-2.727749999758089E-2</v>
      </c>
      <c r="K40">
        <f>+G40</f>
        <v>-2.727749999758089E-2</v>
      </c>
      <c r="O40">
        <f ca="1">+C$11+C$12*$F40</f>
        <v>-2.2267792320781271E-2</v>
      </c>
      <c r="Q40" s="2">
        <f>+C40-15018.5</f>
        <v>41625.096850000002</v>
      </c>
    </row>
    <row r="41" spans="1:17">
      <c r="A41" s="58" t="s">
        <v>137</v>
      </c>
      <c r="B41" s="59" t="s">
        <v>44</v>
      </c>
      <c r="C41" s="60">
        <v>57049.430849999997</v>
      </c>
      <c r="D41" s="60">
        <v>1E-4</v>
      </c>
      <c r="E41">
        <f>+(C41-C$7)/C$8</f>
        <v>12851.431231063858</v>
      </c>
      <c r="F41">
        <f>ROUND(2*E41,0)/2</f>
        <v>12851.5</v>
      </c>
      <c r="G41">
        <f>+C41-(C$7+F41*C$8)</f>
        <v>-2.8996250002819579E-2</v>
      </c>
      <c r="K41">
        <f>+G41</f>
        <v>-2.8996250002819579E-2</v>
      </c>
      <c r="O41">
        <f ca="1">+C$11+C$12*$F41</f>
        <v>-2.4291555467057854E-2</v>
      </c>
      <c r="Q41" s="2">
        <f>+C41-15018.5</f>
        <v>42030.930849999997</v>
      </c>
    </row>
    <row r="42" spans="1:17">
      <c r="A42" s="58" t="s">
        <v>137</v>
      </c>
      <c r="B42" s="59" t="s">
        <v>37</v>
      </c>
      <c r="C42" s="60">
        <v>57049.644820000001</v>
      </c>
      <c r="D42" s="60">
        <v>5.0000000000000001E-4</v>
      </c>
      <c r="E42">
        <f>+(C42-C$7)/C$8</f>
        <v>12851.938692865491</v>
      </c>
      <c r="F42">
        <f>ROUND(2*E42,0)/2</f>
        <v>12852</v>
      </c>
      <c r="G42">
        <f>+C42-(C$7+F42*C$8)</f>
        <v>-2.5849999998172279E-2</v>
      </c>
      <c r="K42">
        <f>+G42</f>
        <v>-2.5849999998172279E-2</v>
      </c>
      <c r="O42">
        <f ca="1">+C$11+C$12*$F42</f>
        <v>-2.4292606772588387E-2</v>
      </c>
      <c r="Q42" s="2">
        <f>+C42-15018.5</f>
        <v>42031.144820000001</v>
      </c>
    </row>
    <row r="43" spans="1:17">
      <c r="A43" s="58" t="s">
        <v>137</v>
      </c>
      <c r="B43" s="59" t="s">
        <v>37</v>
      </c>
      <c r="C43" s="60">
        <v>57050.48876</v>
      </c>
      <c r="D43" s="60">
        <v>1E-4</v>
      </c>
      <c r="E43">
        <f>+(C43-C$7)/C$8</f>
        <v>12853.940222579289</v>
      </c>
      <c r="F43">
        <f>ROUND(2*E43,0)/2</f>
        <v>12854</v>
      </c>
      <c r="G43">
        <f>+C43-(C$7+F43*C$8)</f>
        <v>-2.5204999998095445E-2</v>
      </c>
      <c r="K43">
        <f>+G43</f>
        <v>-2.5204999998095445E-2</v>
      </c>
      <c r="O43">
        <f ca="1">+C$11+C$12*$F43</f>
        <v>-2.429681199471052E-2</v>
      </c>
      <c r="Q43" s="2">
        <f>+C43-15018.5</f>
        <v>42031.98876</v>
      </c>
    </row>
    <row r="44" spans="1:17">
      <c r="A44" s="58" t="s">
        <v>137</v>
      </c>
      <c r="B44" s="59" t="s">
        <v>44</v>
      </c>
      <c r="C44" s="60">
        <v>57117.316229999997</v>
      </c>
      <c r="D44" s="60">
        <v>2.0000000000000001E-4</v>
      </c>
      <c r="E44">
        <f>+(C44-C$7)/C$8</f>
        <v>13012.431545307389</v>
      </c>
      <c r="F44">
        <f>ROUND(2*E44,0)/2</f>
        <v>13012.5</v>
      </c>
      <c r="G44">
        <f>+C44-(C$7+F44*C$8)</f>
        <v>-2.8863750005257316E-2</v>
      </c>
      <c r="K44">
        <f>+G44</f>
        <v>-2.8863750005257316E-2</v>
      </c>
      <c r="O44">
        <f ca="1">+C$11+C$12*$F44</f>
        <v>-2.4630075847889576E-2</v>
      </c>
      <c r="Q44" s="2">
        <f>+C44-15018.5</f>
        <v>42098.816229999997</v>
      </c>
    </row>
    <row r="45" spans="1:17">
      <c r="A45" s="61" t="s">
        <v>136</v>
      </c>
      <c r="B45" s="62"/>
      <c r="C45" s="56">
        <v>57463.698799999998</v>
      </c>
      <c r="D45" s="56">
        <v>2.0000000000000001E-4</v>
      </c>
      <c r="E45">
        <f>+(C45-C$7)/C$8</f>
        <v>13833.929526440923</v>
      </c>
      <c r="F45">
        <f>ROUND(2*E45,0)/2</f>
        <v>13834</v>
      </c>
      <c r="G45">
        <f>+C45-(C$7+F45*C$8)</f>
        <v>-2.9715000004216563E-2</v>
      </c>
      <c r="L45">
        <f>+G45</f>
        <v>-2.9715000004216563E-2</v>
      </c>
      <c r="O45">
        <f ca="1">+C$11+C$12*$F45</f>
        <v>-2.6357370834555773E-2</v>
      </c>
      <c r="Q45" s="2">
        <f>+C45-15018.5</f>
        <v>42445.198799999998</v>
      </c>
    </row>
    <row r="46" spans="1:17">
      <c r="A46" s="63" t="s">
        <v>138</v>
      </c>
      <c r="B46" s="64" t="s">
        <v>37</v>
      </c>
      <c r="C46" s="65">
        <v>57769.813099999999</v>
      </c>
      <c r="D46" s="65">
        <v>1E-4</v>
      </c>
      <c r="E46">
        <f>+(C46-C$7)/C$8</f>
        <v>14559.925293046917</v>
      </c>
      <c r="F46">
        <f>ROUND(2*E46,0)/2</f>
        <v>14560</v>
      </c>
      <c r="G46">
        <f>+C46-(C$7+F46*C$8)</f>
        <v>-3.1499999997322448E-2</v>
      </c>
      <c r="K46">
        <f>+G46</f>
        <v>-3.1499999997322448E-2</v>
      </c>
      <c r="O46">
        <f ca="1">+C$11+C$12*$F46</f>
        <v>-2.7883866464890109E-2</v>
      </c>
      <c r="Q46" s="2">
        <f>+C46-15018.5</f>
        <v>42751.313099999999</v>
      </c>
    </row>
    <row r="47" spans="1:17">
      <c r="A47" s="69" t="s">
        <v>140</v>
      </c>
      <c r="B47" s="70" t="s">
        <v>44</v>
      </c>
      <c r="C47" s="71">
        <v>57820.2016</v>
      </c>
      <c r="D47" s="72" t="s">
        <v>60</v>
      </c>
      <c r="E47">
        <f>+(C47-C$7)/C$8</f>
        <v>14679.429144012478</v>
      </c>
      <c r="F47">
        <f>ROUND(2*E47,0)/2</f>
        <v>14679.5</v>
      </c>
      <c r="G47">
        <f>+C47-(C$7+F47*C$8)</f>
        <v>-2.9876250002416782E-2</v>
      </c>
      <c r="K47">
        <f>+G47</f>
        <v>-2.9876250002416782E-2</v>
      </c>
      <c r="O47">
        <f ca="1">+C$11+C$12*$F47</f>
        <v>-2.8135128486687568E-2</v>
      </c>
      <c r="Q47" s="2">
        <f>+C47-15018.5</f>
        <v>42801.7016</v>
      </c>
    </row>
    <row r="48" spans="1:17" ht="12" customHeight="1">
      <c r="A48" s="66" t="s">
        <v>139</v>
      </c>
      <c r="B48" s="67" t="s">
        <v>37</v>
      </c>
      <c r="C48" s="68">
        <v>57846.553999999996</v>
      </c>
      <c r="D48" s="68">
        <v>1E-4</v>
      </c>
      <c r="E48">
        <f>+(C48-C$7)/C$8</f>
        <v>14741.927795136926</v>
      </c>
      <c r="F48">
        <f>ROUND(2*E48,0)/2</f>
        <v>14742</v>
      </c>
      <c r="G48">
        <f>+C48-(C$7+F48*C$8)</f>
        <v>-3.0445000003965106E-2</v>
      </c>
      <c r="K48">
        <f>+G48</f>
        <v>-3.0445000003965106E-2</v>
      </c>
      <c r="O48">
        <f ca="1">+C$11+C$12*$F48</f>
        <v>-2.8266541678004228E-2</v>
      </c>
      <c r="Q48" s="2">
        <f>+C48-15018.5</f>
        <v>42828.053999999996</v>
      </c>
    </row>
    <row r="49" spans="1:17" ht="12" customHeight="1">
      <c r="A49" s="35" t="s">
        <v>141</v>
      </c>
      <c r="B49" s="36" t="s">
        <v>44</v>
      </c>
      <c r="C49" s="37">
        <v>58512.969799999999</v>
      </c>
      <c r="D49" s="37" t="s">
        <v>60</v>
      </c>
      <c r="E49">
        <f>+(C49-C$7)/C$8</f>
        <v>16322.432363526405</v>
      </c>
      <c r="F49">
        <f>ROUND(2*E49,0)/2</f>
        <v>16322.5</v>
      </c>
      <c r="G49">
        <f>+C49-(C$7+F49*C$8)</f>
        <v>-2.8518749997601844E-2</v>
      </c>
      <c r="K49">
        <f>+G49</f>
        <v>-2.8518749997601844E-2</v>
      </c>
      <c r="O49">
        <f ca="1">+C$11+C$12*$F49</f>
        <v>-3.1589718460019962E-2</v>
      </c>
      <c r="Q49" s="2">
        <f>+C49-15018.5</f>
        <v>43494.469799999999</v>
      </c>
    </row>
    <row r="50" spans="1:17" ht="12" customHeight="1">
      <c r="A50" s="76" t="s">
        <v>143</v>
      </c>
      <c r="B50" s="77" t="s">
        <v>37</v>
      </c>
      <c r="C50" s="78">
        <v>59578.261700000148</v>
      </c>
      <c r="D50" s="10"/>
      <c r="E50">
        <f>+(C50-C$7)/C$8</f>
        <v>18848.931156950173</v>
      </c>
      <c r="F50">
        <f>ROUND(2*E50,0)/2</f>
        <v>18849</v>
      </c>
      <c r="G50">
        <f>+C50-(C$7+F50*C$8)</f>
        <v>-2.9027499855146743E-2</v>
      </c>
      <c r="K50">
        <f>+G50</f>
        <v>-2.9027499855146743E-2</v>
      </c>
      <c r="O50">
        <f ca="1">+C$11+C$12*$F50</f>
        <v>-3.6901965305804682E-2</v>
      </c>
      <c r="Q50" s="2">
        <f>+C50-15018.5</f>
        <v>44559.761700000148</v>
      </c>
    </row>
    <row r="51" spans="1:17" ht="12" customHeight="1">
      <c r="A51" s="73" t="s">
        <v>142</v>
      </c>
      <c r="B51" s="74" t="s">
        <v>37</v>
      </c>
      <c r="C51" s="75">
        <v>59621.690600000002</v>
      </c>
      <c r="D51" s="73">
        <v>1E-4</v>
      </c>
      <c r="E51">
        <f>+(C51-C$7)/C$8</f>
        <v>18951.929277417752</v>
      </c>
      <c r="F51">
        <f>ROUND(2*E51,0)/2</f>
        <v>18952</v>
      </c>
      <c r="G51">
        <f>+C51-(C$7+F51*C$8)</f>
        <v>-2.9819999996107072E-2</v>
      </c>
      <c r="K51">
        <f>+G51</f>
        <v>-2.9819999996107072E-2</v>
      </c>
      <c r="O51">
        <f ca="1">+C$11+C$12*$F51</f>
        <v>-3.7118534245094537E-2</v>
      </c>
      <c r="Q51" s="2">
        <f>+C51-15018.5</f>
        <v>44603.190600000002</v>
      </c>
    </row>
    <row r="52" spans="1:17" ht="12" customHeight="1">
      <c r="C52" s="10"/>
      <c r="D52" s="10"/>
    </row>
    <row r="53" spans="1:17">
      <c r="C53" s="10"/>
      <c r="D53" s="10"/>
    </row>
    <row r="54" spans="1:17">
      <c r="C54" s="10"/>
      <c r="D54" s="10"/>
    </row>
    <row r="55" spans="1:17">
      <c r="C55" s="10"/>
      <c r="D55" s="10"/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9:D49" name="Range1"/>
  </protectedRanges>
  <sortState xmlns:xlrd2="http://schemas.microsoft.com/office/spreadsheetml/2017/richdata2" ref="A21:S52">
    <sortCondition ref="C21:C52"/>
  </sortState>
  <phoneticPr fontId="8" type="noConversion"/>
  <hyperlinks>
    <hyperlink ref="H1425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3"/>
  <sheetViews>
    <sheetView topLeftCell="A4" workbookViewId="0">
      <selection activeCell="A26" sqref="A26:D2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8" t="s">
        <v>51</v>
      </c>
      <c r="I1" s="39" t="s">
        <v>52</v>
      </c>
      <c r="J1" s="40" t="s">
        <v>53</v>
      </c>
    </row>
    <row r="2" spans="1:16">
      <c r="I2" s="41" t="s">
        <v>54</v>
      </c>
      <c r="J2" s="42" t="s">
        <v>55</v>
      </c>
    </row>
    <row r="3" spans="1:16">
      <c r="A3" s="43" t="s">
        <v>56</v>
      </c>
      <c r="I3" s="41" t="s">
        <v>57</v>
      </c>
      <c r="J3" s="42" t="s">
        <v>58</v>
      </c>
    </row>
    <row r="4" spans="1:16">
      <c r="I4" s="41" t="s">
        <v>59</v>
      </c>
      <c r="J4" s="42" t="s">
        <v>58</v>
      </c>
    </row>
    <row r="5" spans="1:16" ht="13.5" thickBot="1">
      <c r="I5" s="44" t="s">
        <v>60</v>
      </c>
      <c r="J5" s="45" t="s">
        <v>61</v>
      </c>
    </row>
    <row r="10" spans="1:16" ht="13.5" thickBot="1"/>
    <row r="11" spans="1:16" ht="12.75" customHeight="1" thickBot="1">
      <c r="A11" s="10" t="str">
        <f t="shared" ref="A11:A26" si="0">P11</f>
        <v>IBVS 5894 </v>
      </c>
      <c r="B11" s="3" t="str">
        <f t="shared" ref="B11:B26" si="1">IF(H11=INT(H11),"I","II")</f>
        <v>I</v>
      </c>
      <c r="C11" s="10">
        <f t="shared" ref="C11:C26" si="2">1*G11</f>
        <v>54833.904999999999</v>
      </c>
      <c r="D11" s="12" t="str">
        <f t="shared" ref="D11:D26" si="3">VLOOKUP(F11,I$1:J$5,2,FALSE)</f>
        <v>vis</v>
      </c>
      <c r="E11" s="46">
        <f>VLOOKUP(C11,Active!C$21:E$973,3,FALSE)</f>
        <v>7596.9808904357305</v>
      </c>
      <c r="F11" s="3" t="s">
        <v>60</v>
      </c>
      <c r="G11" s="12" t="str">
        <f t="shared" ref="G11:G26" si="4">MID(I11,3,LEN(I11)-3)</f>
        <v>54833.9050</v>
      </c>
      <c r="H11" s="10">
        <f t="shared" ref="H11:H26" si="5">1*K11</f>
        <v>7597</v>
      </c>
      <c r="I11" s="47" t="s">
        <v>62</v>
      </c>
      <c r="J11" s="48" t="s">
        <v>63</v>
      </c>
      <c r="K11" s="47">
        <v>7597</v>
      </c>
      <c r="L11" s="47" t="s">
        <v>64</v>
      </c>
      <c r="M11" s="48" t="s">
        <v>65</v>
      </c>
      <c r="N11" s="48" t="s">
        <v>60</v>
      </c>
      <c r="O11" s="49" t="s">
        <v>66</v>
      </c>
      <c r="P11" s="50" t="s">
        <v>67</v>
      </c>
    </row>
    <row r="12" spans="1:16" ht="12.75" customHeight="1" thickBot="1">
      <c r="A12" s="10" t="str">
        <f t="shared" si="0"/>
        <v>IBVS 5894 </v>
      </c>
      <c r="B12" s="3" t="str">
        <f t="shared" si="1"/>
        <v>I</v>
      </c>
      <c r="C12" s="10">
        <f t="shared" si="2"/>
        <v>54839.809200000003</v>
      </c>
      <c r="D12" s="12" t="str">
        <f t="shared" si="3"/>
        <v>vis</v>
      </c>
      <c r="E12" s="46">
        <f>VLOOKUP(C12,Active!C$21:E$973,3,FALSE)</f>
        <v>7610.9835822577015</v>
      </c>
      <c r="F12" s="3" t="s">
        <v>60</v>
      </c>
      <c r="G12" s="12" t="str">
        <f t="shared" si="4"/>
        <v>54839.8092</v>
      </c>
      <c r="H12" s="10">
        <f t="shared" si="5"/>
        <v>7611</v>
      </c>
      <c r="I12" s="47" t="s">
        <v>68</v>
      </c>
      <c r="J12" s="48" t="s">
        <v>69</v>
      </c>
      <c r="K12" s="47">
        <v>7611</v>
      </c>
      <c r="L12" s="47" t="s">
        <v>70</v>
      </c>
      <c r="M12" s="48" t="s">
        <v>65</v>
      </c>
      <c r="N12" s="48" t="s">
        <v>60</v>
      </c>
      <c r="O12" s="49" t="s">
        <v>66</v>
      </c>
      <c r="P12" s="50" t="s">
        <v>67</v>
      </c>
    </row>
    <row r="13" spans="1:16" ht="12.75" customHeight="1" thickBot="1">
      <c r="A13" s="10" t="str">
        <f t="shared" si="0"/>
        <v>BAVM 220 </v>
      </c>
      <c r="B13" s="3" t="str">
        <f t="shared" si="1"/>
        <v>II</v>
      </c>
      <c r="C13" s="10">
        <f t="shared" si="2"/>
        <v>55244.375500000002</v>
      </c>
      <c r="D13" s="12" t="str">
        <f t="shared" si="3"/>
        <v>vis</v>
      </c>
      <c r="E13" s="46">
        <f>VLOOKUP(C13,Active!C$21:E$973,3,FALSE)</f>
        <v>8570.4729661625006</v>
      </c>
      <c r="F13" s="3" t="s">
        <v>60</v>
      </c>
      <c r="G13" s="12" t="str">
        <f t="shared" si="4"/>
        <v>55244.3755</v>
      </c>
      <c r="H13" s="10">
        <f t="shared" si="5"/>
        <v>8570.5</v>
      </c>
      <c r="I13" s="47" t="s">
        <v>71</v>
      </c>
      <c r="J13" s="48" t="s">
        <v>72</v>
      </c>
      <c r="K13" s="47">
        <v>8570.5</v>
      </c>
      <c r="L13" s="47" t="s">
        <v>73</v>
      </c>
      <c r="M13" s="48" t="s">
        <v>65</v>
      </c>
      <c r="N13" s="48" t="s">
        <v>74</v>
      </c>
      <c r="O13" s="49" t="s">
        <v>75</v>
      </c>
      <c r="P13" s="50" t="s">
        <v>76</v>
      </c>
    </row>
    <row r="14" spans="1:16" ht="12.75" customHeight="1" thickBot="1">
      <c r="A14" s="10" t="str">
        <f t="shared" si="0"/>
        <v>IBVS 5945 </v>
      </c>
      <c r="B14" s="3" t="str">
        <f t="shared" si="1"/>
        <v>I</v>
      </c>
      <c r="C14" s="10">
        <f t="shared" si="2"/>
        <v>55245.850700000003</v>
      </c>
      <c r="D14" s="12" t="str">
        <f t="shared" si="3"/>
        <v>vis</v>
      </c>
      <c r="E14" s="46">
        <f>VLOOKUP(C14,Active!C$21:E$973,3,FALSE)</f>
        <v>8573.9716232160827</v>
      </c>
      <c r="F14" s="3" t="s">
        <v>60</v>
      </c>
      <c r="G14" s="12" t="str">
        <f t="shared" si="4"/>
        <v>55245.8507</v>
      </c>
      <c r="H14" s="10">
        <f t="shared" si="5"/>
        <v>8574</v>
      </c>
      <c r="I14" s="47" t="s">
        <v>77</v>
      </c>
      <c r="J14" s="48" t="s">
        <v>78</v>
      </c>
      <c r="K14" s="47" t="s">
        <v>79</v>
      </c>
      <c r="L14" s="47" t="s">
        <v>80</v>
      </c>
      <c r="M14" s="48" t="s">
        <v>65</v>
      </c>
      <c r="N14" s="48" t="s">
        <v>60</v>
      </c>
      <c r="O14" s="49" t="s">
        <v>66</v>
      </c>
      <c r="P14" s="50" t="s">
        <v>81</v>
      </c>
    </row>
    <row r="15" spans="1:16" ht="12.75" customHeight="1" thickBot="1">
      <c r="A15" s="10" t="str">
        <f t="shared" si="0"/>
        <v>BAVM 220 </v>
      </c>
      <c r="B15" s="3" t="str">
        <f t="shared" si="1"/>
        <v>II</v>
      </c>
      <c r="C15" s="10">
        <f t="shared" si="2"/>
        <v>55260.3969</v>
      </c>
      <c r="D15" s="12" t="str">
        <f t="shared" si="3"/>
        <v>vis</v>
      </c>
      <c r="E15" s="46">
        <f>VLOOKUP(C15,Active!C$21:E$973,3,FALSE)</f>
        <v>8608.4701083250839</v>
      </c>
      <c r="F15" s="3" t="s">
        <v>60</v>
      </c>
      <c r="G15" s="12" t="str">
        <f t="shared" si="4"/>
        <v>55260.3969</v>
      </c>
      <c r="H15" s="10">
        <f t="shared" si="5"/>
        <v>8608.5</v>
      </c>
      <c r="I15" s="47" t="s">
        <v>82</v>
      </c>
      <c r="J15" s="48" t="s">
        <v>83</v>
      </c>
      <c r="K15" s="47" t="s">
        <v>84</v>
      </c>
      <c r="L15" s="47" t="s">
        <v>85</v>
      </c>
      <c r="M15" s="48" t="s">
        <v>65</v>
      </c>
      <c r="N15" s="48" t="s">
        <v>74</v>
      </c>
      <c r="O15" s="49" t="s">
        <v>75</v>
      </c>
      <c r="P15" s="50" t="s">
        <v>76</v>
      </c>
    </row>
    <row r="16" spans="1:16" ht="12.75" customHeight="1" thickBot="1">
      <c r="A16" s="10" t="str">
        <f t="shared" si="0"/>
        <v>OEJV 0137 </v>
      </c>
      <c r="B16" s="3" t="str">
        <f t="shared" si="1"/>
        <v>I</v>
      </c>
      <c r="C16" s="10">
        <f t="shared" si="2"/>
        <v>55286.329660000003</v>
      </c>
      <c r="D16" s="12" t="str">
        <f t="shared" si="3"/>
        <v>vis</v>
      </c>
      <c r="E16" s="46">
        <f>VLOOKUP(C16,Active!C$21:E$973,3,FALSE)</f>
        <v>8669.9735205355264</v>
      </c>
      <c r="F16" s="3" t="s">
        <v>60</v>
      </c>
      <c r="G16" s="12" t="str">
        <f t="shared" si="4"/>
        <v>55286.32966</v>
      </c>
      <c r="H16" s="10">
        <f t="shared" si="5"/>
        <v>8670</v>
      </c>
      <c r="I16" s="47" t="s">
        <v>86</v>
      </c>
      <c r="J16" s="48" t="s">
        <v>87</v>
      </c>
      <c r="K16" s="47" t="s">
        <v>88</v>
      </c>
      <c r="L16" s="47" t="s">
        <v>89</v>
      </c>
      <c r="M16" s="48" t="s">
        <v>65</v>
      </c>
      <c r="N16" s="48" t="s">
        <v>37</v>
      </c>
      <c r="O16" s="49" t="s">
        <v>90</v>
      </c>
      <c r="P16" s="50" t="s">
        <v>91</v>
      </c>
    </row>
    <row r="17" spans="1:16" ht="12.75" customHeight="1" thickBot="1">
      <c r="A17" s="10" t="str">
        <f t="shared" si="0"/>
        <v>IBVS 5992 </v>
      </c>
      <c r="B17" s="3" t="str">
        <f t="shared" si="1"/>
        <v>II</v>
      </c>
      <c r="C17" s="10">
        <f t="shared" si="2"/>
        <v>55580.845399999998</v>
      </c>
      <c r="D17" s="12" t="str">
        <f t="shared" si="3"/>
        <v>vis</v>
      </c>
      <c r="E17" s="46">
        <f>VLOOKUP(C17,Active!C$21:E$973,3,FALSE)</f>
        <v>9368.4615703875843</v>
      </c>
      <c r="F17" s="3" t="s">
        <v>60</v>
      </c>
      <c r="G17" s="12" t="str">
        <f t="shared" si="4"/>
        <v>55580.8454</v>
      </c>
      <c r="H17" s="10">
        <f t="shared" si="5"/>
        <v>9368.5</v>
      </c>
      <c r="I17" s="47" t="s">
        <v>92</v>
      </c>
      <c r="J17" s="48" t="s">
        <v>93</v>
      </c>
      <c r="K17" s="47" t="s">
        <v>94</v>
      </c>
      <c r="L17" s="47" t="s">
        <v>95</v>
      </c>
      <c r="M17" s="48" t="s">
        <v>65</v>
      </c>
      <c r="N17" s="48" t="s">
        <v>60</v>
      </c>
      <c r="O17" s="49" t="s">
        <v>66</v>
      </c>
      <c r="P17" s="50" t="s">
        <v>96</v>
      </c>
    </row>
    <row r="18" spans="1:16" ht="12.75" customHeight="1" thickBot="1">
      <c r="A18" s="10" t="str">
        <f t="shared" si="0"/>
        <v>OEJV 0160 </v>
      </c>
      <c r="B18" s="3" t="str">
        <f t="shared" si="1"/>
        <v>I</v>
      </c>
      <c r="C18" s="10">
        <f t="shared" si="2"/>
        <v>55617.319179999999</v>
      </c>
      <c r="D18" s="12" t="str">
        <f t="shared" si="3"/>
        <v>vis</v>
      </c>
      <c r="E18" s="46">
        <f>VLOOKUP(C18,Active!C$21:E$973,3,FALSE)</f>
        <v>9454.9645853467628</v>
      </c>
      <c r="F18" s="3" t="s">
        <v>60</v>
      </c>
      <c r="G18" s="12" t="str">
        <f t="shared" si="4"/>
        <v>55617.31918</v>
      </c>
      <c r="H18" s="10">
        <f t="shared" si="5"/>
        <v>9455</v>
      </c>
      <c r="I18" s="47" t="s">
        <v>97</v>
      </c>
      <c r="J18" s="48" t="s">
        <v>98</v>
      </c>
      <c r="K18" s="47" t="s">
        <v>99</v>
      </c>
      <c r="L18" s="47" t="s">
        <v>100</v>
      </c>
      <c r="M18" s="48" t="s">
        <v>65</v>
      </c>
      <c r="N18" s="48" t="s">
        <v>52</v>
      </c>
      <c r="O18" s="49" t="s">
        <v>101</v>
      </c>
      <c r="P18" s="50" t="s">
        <v>102</v>
      </c>
    </row>
    <row r="19" spans="1:16" ht="12.75" customHeight="1" thickBot="1">
      <c r="A19" s="10" t="str">
        <f t="shared" si="0"/>
        <v>BAVM 220 </v>
      </c>
      <c r="B19" s="3" t="str">
        <f t="shared" si="1"/>
        <v>II</v>
      </c>
      <c r="C19" s="10">
        <f t="shared" si="2"/>
        <v>55621.320800000001</v>
      </c>
      <c r="D19" s="12" t="str">
        <f t="shared" si="3"/>
        <v>vis</v>
      </c>
      <c r="E19" s="46">
        <f>VLOOKUP(C19,Active!C$21:E$973,3,FALSE)</f>
        <v>9464.455024635512</v>
      </c>
      <c r="F19" s="3" t="s">
        <v>60</v>
      </c>
      <c r="G19" s="12" t="str">
        <f t="shared" si="4"/>
        <v>55621.3208</v>
      </c>
      <c r="H19" s="10">
        <f t="shared" si="5"/>
        <v>9464.5</v>
      </c>
      <c r="I19" s="47" t="s">
        <v>103</v>
      </c>
      <c r="J19" s="48" t="s">
        <v>104</v>
      </c>
      <c r="K19" s="47" t="s">
        <v>105</v>
      </c>
      <c r="L19" s="47" t="s">
        <v>106</v>
      </c>
      <c r="M19" s="48" t="s">
        <v>65</v>
      </c>
      <c r="N19" s="48">
        <v>0</v>
      </c>
      <c r="O19" s="49" t="s">
        <v>107</v>
      </c>
      <c r="P19" s="50" t="s">
        <v>76</v>
      </c>
    </row>
    <row r="20" spans="1:16" ht="12.75" customHeight="1" thickBot="1">
      <c r="A20" s="10" t="str">
        <f t="shared" si="0"/>
        <v>BAVM 220 </v>
      </c>
      <c r="B20" s="3" t="str">
        <f t="shared" si="1"/>
        <v>I</v>
      </c>
      <c r="C20" s="10">
        <f t="shared" si="2"/>
        <v>55621.536500000002</v>
      </c>
      <c r="D20" s="12" t="str">
        <f t="shared" si="3"/>
        <v>vis</v>
      </c>
      <c r="E20" s="46">
        <f>VLOOKUP(C20,Active!C$21:E$973,3,FALSE)</f>
        <v>9464.966589390433</v>
      </c>
      <c r="F20" s="3" t="s">
        <v>60</v>
      </c>
      <c r="G20" s="12" t="str">
        <f t="shared" si="4"/>
        <v>55621.5365</v>
      </c>
      <c r="H20" s="10">
        <f t="shared" si="5"/>
        <v>9465</v>
      </c>
      <c r="I20" s="47" t="s">
        <v>108</v>
      </c>
      <c r="J20" s="48" t="s">
        <v>109</v>
      </c>
      <c r="K20" s="47">
        <v>9465</v>
      </c>
      <c r="L20" s="47" t="s">
        <v>110</v>
      </c>
      <c r="M20" s="48" t="s">
        <v>65</v>
      </c>
      <c r="N20" s="48">
        <v>0</v>
      </c>
      <c r="O20" s="49" t="s">
        <v>107</v>
      </c>
      <c r="P20" s="50" t="s">
        <v>76</v>
      </c>
    </row>
    <row r="21" spans="1:16" ht="12.75" customHeight="1" thickBot="1">
      <c r="A21" s="10" t="str">
        <f t="shared" si="0"/>
        <v>IBVS 5992 </v>
      </c>
      <c r="B21" s="3" t="str">
        <f t="shared" si="1"/>
        <v>II</v>
      </c>
      <c r="C21" s="10">
        <f t="shared" si="2"/>
        <v>55667.703200000004</v>
      </c>
      <c r="D21" s="12" t="str">
        <f t="shared" si="3"/>
        <v>vis</v>
      </c>
      <c r="E21" s="46">
        <f>VLOOKUP(C21,Active!C$21:E$973,3,FALSE)</f>
        <v>9574.4578113234493</v>
      </c>
      <c r="F21" s="3" t="s">
        <v>60</v>
      </c>
      <c r="G21" s="12" t="str">
        <f t="shared" si="4"/>
        <v>55667.7032</v>
      </c>
      <c r="H21" s="10">
        <f t="shared" si="5"/>
        <v>9574.5</v>
      </c>
      <c r="I21" s="47" t="s">
        <v>116</v>
      </c>
      <c r="J21" s="48" t="s">
        <v>117</v>
      </c>
      <c r="K21" s="47">
        <v>9574.5</v>
      </c>
      <c r="L21" s="47" t="s">
        <v>118</v>
      </c>
      <c r="M21" s="48" t="s">
        <v>65</v>
      </c>
      <c r="N21" s="48" t="s">
        <v>60</v>
      </c>
      <c r="O21" s="49" t="s">
        <v>66</v>
      </c>
      <c r="P21" s="50" t="s">
        <v>96</v>
      </c>
    </row>
    <row r="22" spans="1:16" ht="12.75" customHeight="1" thickBot="1">
      <c r="A22" s="10" t="str">
        <f t="shared" si="0"/>
        <v>IBVS 6018 </v>
      </c>
      <c r="B22" s="3" t="str">
        <f t="shared" si="1"/>
        <v>I</v>
      </c>
      <c r="C22" s="10">
        <f t="shared" si="2"/>
        <v>55909.936999999998</v>
      </c>
      <c r="D22" s="12" t="str">
        <f t="shared" si="3"/>
        <v>vis</v>
      </c>
      <c r="E22" s="46">
        <f>VLOOKUP(C22,Active!C$21:E$973,3,FALSE)</f>
        <v>10148.951434551371</v>
      </c>
      <c r="F22" s="3" t="s">
        <v>60</v>
      </c>
      <c r="G22" s="12" t="str">
        <f t="shared" si="4"/>
        <v>55909.937</v>
      </c>
      <c r="H22" s="10">
        <f t="shared" si="5"/>
        <v>10149</v>
      </c>
      <c r="I22" s="47" t="s">
        <v>119</v>
      </c>
      <c r="J22" s="48" t="s">
        <v>120</v>
      </c>
      <c r="K22" s="47">
        <v>10149</v>
      </c>
      <c r="L22" s="47" t="s">
        <v>121</v>
      </c>
      <c r="M22" s="48" t="s">
        <v>65</v>
      </c>
      <c r="N22" s="48" t="s">
        <v>52</v>
      </c>
      <c r="O22" s="49" t="s">
        <v>122</v>
      </c>
      <c r="P22" s="50" t="s">
        <v>123</v>
      </c>
    </row>
    <row r="23" spans="1:16" ht="12.75" customHeight="1" thickBot="1">
      <c r="A23" s="10" t="str">
        <f t="shared" si="0"/>
        <v>IBVS 6029 </v>
      </c>
      <c r="B23" s="3" t="str">
        <f t="shared" si="1"/>
        <v>I</v>
      </c>
      <c r="C23" s="10">
        <f t="shared" si="2"/>
        <v>56002.700599999996</v>
      </c>
      <c r="D23" s="12" t="str">
        <f t="shared" si="3"/>
        <v>vis</v>
      </c>
      <c r="E23" s="46">
        <f>VLOOKUP(C23,Active!C$21:E$973,3,FALSE)</f>
        <v>10368.954161948066</v>
      </c>
      <c r="F23" s="3" t="s">
        <v>60</v>
      </c>
      <c r="G23" s="12" t="str">
        <f t="shared" si="4"/>
        <v>56002.7006</v>
      </c>
      <c r="H23" s="10">
        <f t="shared" si="5"/>
        <v>10369</v>
      </c>
      <c r="I23" s="47" t="s">
        <v>124</v>
      </c>
      <c r="J23" s="48" t="s">
        <v>125</v>
      </c>
      <c r="K23" s="47">
        <v>10369</v>
      </c>
      <c r="L23" s="47" t="s">
        <v>126</v>
      </c>
      <c r="M23" s="48" t="s">
        <v>65</v>
      </c>
      <c r="N23" s="48" t="s">
        <v>60</v>
      </c>
      <c r="O23" s="49" t="s">
        <v>66</v>
      </c>
      <c r="P23" s="50" t="s">
        <v>127</v>
      </c>
    </row>
    <row r="24" spans="1:16" ht="12.75" customHeight="1" thickBot="1">
      <c r="A24" s="10" t="str">
        <f t="shared" si="0"/>
        <v>OEJV 0160 </v>
      </c>
      <c r="B24" s="3" t="str">
        <f t="shared" si="1"/>
        <v>I</v>
      </c>
      <c r="C24" s="10">
        <f t="shared" si="2"/>
        <v>56015.347229999999</v>
      </c>
      <c r="D24" s="12" t="str">
        <f t="shared" si="3"/>
        <v>vis</v>
      </c>
      <c r="E24" s="46">
        <f>VLOOKUP(C24,Active!C$21:E$973,3,FALSE)</f>
        <v>10398.947533188268</v>
      </c>
      <c r="F24" s="3" t="s">
        <v>60</v>
      </c>
      <c r="G24" s="12" t="str">
        <f t="shared" si="4"/>
        <v>56015.34723</v>
      </c>
      <c r="H24" s="10">
        <f t="shared" si="5"/>
        <v>10399</v>
      </c>
      <c r="I24" s="47" t="s">
        <v>128</v>
      </c>
      <c r="J24" s="48" t="s">
        <v>129</v>
      </c>
      <c r="K24" s="47">
        <v>10399</v>
      </c>
      <c r="L24" s="47" t="s">
        <v>130</v>
      </c>
      <c r="M24" s="48" t="s">
        <v>65</v>
      </c>
      <c r="N24" s="48" t="s">
        <v>131</v>
      </c>
      <c r="O24" s="49" t="s">
        <v>132</v>
      </c>
      <c r="P24" s="50" t="s">
        <v>102</v>
      </c>
    </row>
    <row r="25" spans="1:16" ht="12.75" customHeight="1" thickBot="1">
      <c r="A25" s="10" t="str">
        <f t="shared" si="0"/>
        <v>OEJV 0160 </v>
      </c>
      <c r="B25" s="3" t="str">
        <f t="shared" si="1"/>
        <v>II</v>
      </c>
      <c r="C25" s="10">
        <f t="shared" si="2"/>
        <v>56330.521950000002</v>
      </c>
      <c r="D25" s="12" t="str">
        <f t="shared" si="3"/>
        <v>vis</v>
      </c>
      <c r="E25" s="46">
        <f>VLOOKUP(C25,Active!C$21:E$973,3,FALSE)</f>
        <v>11146.431438583184</v>
      </c>
      <c r="F25" s="3" t="s">
        <v>60</v>
      </c>
      <c r="G25" s="12" t="str">
        <f t="shared" si="4"/>
        <v>56330.52195</v>
      </c>
      <c r="H25" s="10">
        <f t="shared" si="5"/>
        <v>11146.5</v>
      </c>
      <c r="I25" s="47" t="s">
        <v>133</v>
      </c>
      <c r="J25" s="48" t="s">
        <v>134</v>
      </c>
      <c r="K25" s="47">
        <v>11146.5</v>
      </c>
      <c r="L25" s="47" t="s">
        <v>135</v>
      </c>
      <c r="M25" s="48" t="s">
        <v>65</v>
      </c>
      <c r="N25" s="48" t="s">
        <v>131</v>
      </c>
      <c r="O25" s="49" t="s">
        <v>132</v>
      </c>
      <c r="P25" s="50" t="s">
        <v>102</v>
      </c>
    </row>
    <row r="26" spans="1:16" ht="12.75" customHeight="1" thickBot="1">
      <c r="A26" s="10" t="str">
        <f t="shared" si="0"/>
        <v>BAVM 225 </v>
      </c>
      <c r="B26" s="3" t="str">
        <f t="shared" si="1"/>
        <v>II</v>
      </c>
      <c r="C26" s="10">
        <f t="shared" si="2"/>
        <v>55626.380299999997</v>
      </c>
      <c r="D26" s="12" t="str">
        <f t="shared" si="3"/>
        <v>vis</v>
      </c>
      <c r="E26" s="46">
        <f>VLOOKUP(C26,Active!C$21:E$973,3,FALSE)</f>
        <v>9476.4543842901894</v>
      </c>
      <c r="F26" s="3" t="s">
        <v>60</v>
      </c>
      <c r="G26" s="12" t="str">
        <f t="shared" si="4"/>
        <v>55626.3803</v>
      </c>
      <c r="H26" s="10">
        <f t="shared" si="5"/>
        <v>9476.5</v>
      </c>
      <c r="I26" s="47" t="s">
        <v>111</v>
      </c>
      <c r="J26" s="48" t="s">
        <v>112</v>
      </c>
      <c r="K26" s="47">
        <v>9476.5</v>
      </c>
      <c r="L26" s="47" t="s">
        <v>113</v>
      </c>
      <c r="M26" s="48" t="s">
        <v>65</v>
      </c>
      <c r="N26" s="48">
        <v>0</v>
      </c>
      <c r="O26" s="49" t="s">
        <v>114</v>
      </c>
      <c r="P26" s="50" t="s">
        <v>115</v>
      </c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</sheetData>
  <phoneticPr fontId="8" type="noConversion"/>
  <hyperlinks>
    <hyperlink ref="P11" r:id="rId1" display="http://www.konkoly.hu/cgi-bin/IBVS?5894" xr:uid="{00000000-0004-0000-0100-000000000000}"/>
    <hyperlink ref="P12" r:id="rId2" display="http://www.konkoly.hu/cgi-bin/IBVS?5894" xr:uid="{00000000-0004-0000-0100-000001000000}"/>
    <hyperlink ref="P13" r:id="rId3" display="http://www.bav-astro.de/sfs/BAVM_link.php?BAVMnr=220" xr:uid="{00000000-0004-0000-0100-000002000000}"/>
    <hyperlink ref="P14" r:id="rId4" display="http://www.konkoly.hu/cgi-bin/IBVS?5945" xr:uid="{00000000-0004-0000-0100-000003000000}"/>
    <hyperlink ref="P15" r:id="rId5" display="http://www.bav-astro.de/sfs/BAVM_link.php?BAVMnr=220" xr:uid="{00000000-0004-0000-0100-000004000000}"/>
    <hyperlink ref="P16" r:id="rId6" display="http://var.astro.cz/oejv/issues/oejv0137.pdf" xr:uid="{00000000-0004-0000-0100-000005000000}"/>
    <hyperlink ref="P17" r:id="rId7" display="http://www.konkoly.hu/cgi-bin/IBVS?5992" xr:uid="{00000000-0004-0000-0100-000006000000}"/>
    <hyperlink ref="P18" r:id="rId8" display="http://var.astro.cz/oejv/issues/oejv0160.pdf" xr:uid="{00000000-0004-0000-0100-000007000000}"/>
    <hyperlink ref="P19" r:id="rId9" display="http://www.bav-astro.de/sfs/BAVM_link.php?BAVMnr=220" xr:uid="{00000000-0004-0000-0100-000008000000}"/>
    <hyperlink ref="P20" r:id="rId10" display="http://www.bav-astro.de/sfs/BAVM_link.php?BAVMnr=220" xr:uid="{00000000-0004-0000-0100-000009000000}"/>
    <hyperlink ref="P26" r:id="rId11" display="http://www.bav-astro.de/sfs/BAVM_link.php?BAVMnr=225" xr:uid="{00000000-0004-0000-0100-00000A000000}"/>
    <hyperlink ref="P21" r:id="rId12" display="http://www.konkoly.hu/cgi-bin/IBVS?5992" xr:uid="{00000000-0004-0000-0100-00000B000000}"/>
    <hyperlink ref="P22" r:id="rId13" display="http://www.konkoly.hu/cgi-bin/IBVS?6018" xr:uid="{00000000-0004-0000-0100-00000C000000}"/>
    <hyperlink ref="P23" r:id="rId14" display="http://www.konkoly.hu/cgi-bin/IBVS?6029" xr:uid="{00000000-0004-0000-0100-00000D000000}"/>
    <hyperlink ref="P24" r:id="rId15" display="http://var.astro.cz/oejv/issues/oejv0160.pdf" xr:uid="{00000000-0004-0000-0100-00000E000000}"/>
    <hyperlink ref="P25" r:id="rId16" display="http://var.astro.cz/oejv/issues/oejv0160.pdf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2023-08-21T04:45:17Z</dcterms:modified>
</cp:coreProperties>
</file>