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E4E10B5-B33C-4093-BB1F-C353C408C72D}" xr6:coauthVersionLast="47" xr6:coauthVersionMax="47" xr10:uidLastSave="{00000000-0000-0000-0000-000000000000}"/>
  <bookViews>
    <workbookView xWindow="14175" yWindow="360" windowWidth="12975" windowHeight="146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9" i="1" l="1"/>
  <c r="W18" i="1"/>
  <c r="W17" i="1"/>
  <c r="W16" i="1"/>
  <c r="E57" i="1"/>
  <c r="F57" i="1" s="1"/>
  <c r="Q57" i="1"/>
  <c r="E58" i="1"/>
  <c r="F58" i="1" s="1"/>
  <c r="Q58" i="1"/>
  <c r="Q56" i="1"/>
  <c r="D11" i="1"/>
  <c r="P52" i="1" s="1"/>
  <c r="R52" i="1" s="1"/>
  <c r="T52" i="1" s="1"/>
  <c r="D12" i="1"/>
  <c r="Q55" i="1"/>
  <c r="E47" i="1"/>
  <c r="F47" i="1"/>
  <c r="P47" i="1"/>
  <c r="E49" i="1"/>
  <c r="F49" i="1"/>
  <c r="E52" i="1"/>
  <c r="F52" i="1"/>
  <c r="Q54" i="1"/>
  <c r="Q53" i="1"/>
  <c r="Q51" i="1"/>
  <c r="D13" i="1"/>
  <c r="Q52" i="1"/>
  <c r="C7" i="1"/>
  <c r="E56" i="1"/>
  <c r="F56" i="1"/>
  <c r="C8" i="1"/>
  <c r="E44" i="1"/>
  <c r="F44" i="1"/>
  <c r="E41" i="1"/>
  <c r="F41" i="1"/>
  <c r="Q41" i="1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E15" i="2"/>
  <c r="G14" i="2"/>
  <c r="C14" i="2"/>
  <c r="G13" i="2"/>
  <c r="C13" i="2"/>
  <c r="E42" i="1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2" i="2"/>
  <c r="C12" i="2"/>
  <c r="E12" i="2"/>
  <c r="E26" i="1"/>
  <c r="G23" i="2"/>
  <c r="C23" i="2"/>
  <c r="E23" i="2"/>
  <c r="G22" i="2"/>
  <c r="C22" i="2"/>
  <c r="E22" i="2"/>
  <c r="G21" i="2"/>
  <c r="C21" i="2"/>
  <c r="E21" i="2"/>
  <c r="G11" i="2"/>
  <c r="C11" i="2"/>
  <c r="E11" i="2"/>
  <c r="E22" i="1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12" i="2"/>
  <c r="D12" i="2"/>
  <c r="B12" i="2"/>
  <c r="A12" i="2"/>
  <c r="H23" i="2"/>
  <c r="D23" i="2"/>
  <c r="B23" i="2"/>
  <c r="A23" i="2"/>
  <c r="H22" i="2"/>
  <c r="D22" i="2"/>
  <c r="B22" i="2"/>
  <c r="A22" i="2"/>
  <c r="H21" i="2"/>
  <c r="D21" i="2"/>
  <c r="B21" i="2"/>
  <c r="A21" i="2"/>
  <c r="H11" i="2"/>
  <c r="D11" i="2"/>
  <c r="B11" i="2"/>
  <c r="A11" i="2"/>
  <c r="Q49" i="1"/>
  <c r="E9" i="1"/>
  <c r="D9" i="1"/>
  <c r="E38" i="1"/>
  <c r="F38" i="1"/>
  <c r="E39" i="1"/>
  <c r="F39" i="1"/>
  <c r="E40" i="1"/>
  <c r="F40" i="1"/>
  <c r="F26" i="1"/>
  <c r="G26" i="1"/>
  <c r="I26" i="1"/>
  <c r="F22" i="1"/>
  <c r="G22" i="1"/>
  <c r="E23" i="1"/>
  <c r="F23" i="1"/>
  <c r="E24" i="1"/>
  <c r="F24" i="1"/>
  <c r="E25" i="1"/>
  <c r="F25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G33" i="1"/>
  <c r="K33" i="1"/>
  <c r="E34" i="1"/>
  <c r="F34" i="1"/>
  <c r="E35" i="1"/>
  <c r="F35" i="1"/>
  <c r="E36" i="1"/>
  <c r="F36" i="1"/>
  <c r="E37" i="1"/>
  <c r="F37" i="1"/>
  <c r="F42" i="1"/>
  <c r="G42" i="1"/>
  <c r="K42" i="1"/>
  <c r="W14" i="1"/>
  <c r="W10" i="1"/>
  <c r="W9" i="1"/>
  <c r="W6" i="1"/>
  <c r="W5" i="1"/>
  <c r="E21" i="1"/>
  <c r="F21" i="1"/>
  <c r="Q21" i="1"/>
  <c r="Q50" i="1"/>
  <c r="Q48" i="1"/>
  <c r="Q46" i="1"/>
  <c r="Q47" i="1"/>
  <c r="Q45" i="1"/>
  <c r="Q44" i="1"/>
  <c r="F16" i="1"/>
  <c r="F17" i="1" s="1"/>
  <c r="C17" i="1"/>
  <c r="Q26" i="1"/>
  <c r="Q42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3" i="1"/>
  <c r="E13" i="2"/>
  <c r="G36" i="1"/>
  <c r="K36" i="1"/>
  <c r="G24" i="1"/>
  <c r="K24" i="1"/>
  <c r="P24" i="1"/>
  <c r="R24" i="1" s="1"/>
  <c r="T24" i="1" s="1"/>
  <c r="E20" i="2"/>
  <c r="G29" i="1"/>
  <c r="K29" i="1"/>
  <c r="E45" i="1"/>
  <c r="E16" i="2"/>
  <c r="F45" i="1"/>
  <c r="G45" i="1"/>
  <c r="J45" i="1"/>
  <c r="E43" i="1"/>
  <c r="E14" i="2"/>
  <c r="F43" i="1"/>
  <c r="G43" i="1"/>
  <c r="K43" i="1"/>
  <c r="P43" i="1"/>
  <c r="R43" i="1" s="1"/>
  <c r="T43" i="1" s="1"/>
  <c r="P22" i="1"/>
  <c r="R22" i="1" s="1"/>
  <c r="T22" i="1" s="1"/>
  <c r="P36" i="1"/>
  <c r="R36" i="1"/>
  <c r="T36" i="1" s="1"/>
  <c r="W3" i="1"/>
  <c r="W7" i="1"/>
  <c r="W11" i="1"/>
  <c r="W15" i="1"/>
  <c r="P29" i="1"/>
  <c r="R29" i="1" s="1"/>
  <c r="T29" i="1" s="1"/>
  <c r="P26" i="1"/>
  <c r="W4" i="1"/>
  <c r="W8" i="1"/>
  <c r="W12" i="1"/>
  <c r="G34" i="1"/>
  <c r="K34" i="1"/>
  <c r="P34" i="1"/>
  <c r="R34" i="1"/>
  <c r="T34" i="1" s="1"/>
  <c r="G28" i="1"/>
  <c r="K28" i="1"/>
  <c r="P28" i="1"/>
  <c r="G27" i="1"/>
  <c r="K27" i="1"/>
  <c r="P27" i="1"/>
  <c r="R27" i="1"/>
  <c r="T27" i="1" s="1"/>
  <c r="P40" i="1"/>
  <c r="R40" i="1" s="1"/>
  <c r="T40" i="1" s="1"/>
  <c r="G40" i="1"/>
  <c r="K40" i="1"/>
  <c r="P44" i="1"/>
  <c r="R44" i="1"/>
  <c r="T44" i="1" s="1"/>
  <c r="G44" i="1"/>
  <c r="K44" i="1"/>
  <c r="P32" i="1"/>
  <c r="R32" i="1" s="1"/>
  <c r="T32" i="1" s="1"/>
  <c r="G32" i="1"/>
  <c r="K32" i="1"/>
  <c r="P38" i="1"/>
  <c r="R38" i="1"/>
  <c r="T38" i="1" s="1"/>
  <c r="G38" i="1"/>
  <c r="K38" i="1"/>
  <c r="P49" i="1"/>
  <c r="G49" i="1"/>
  <c r="K49" i="1"/>
  <c r="R26" i="1"/>
  <c r="T26" i="1"/>
  <c r="P25" i="1"/>
  <c r="R25" i="1" s="1"/>
  <c r="T25" i="1" s="1"/>
  <c r="G25" i="1"/>
  <c r="K25" i="1"/>
  <c r="P39" i="1"/>
  <c r="G39" i="1"/>
  <c r="K39" i="1"/>
  <c r="P37" i="1"/>
  <c r="R37" i="1" s="1"/>
  <c r="T37" i="1" s="1"/>
  <c r="G37" i="1"/>
  <c r="K37" i="1"/>
  <c r="P31" i="1"/>
  <c r="G31" i="1"/>
  <c r="K31" i="1"/>
  <c r="G35" i="1"/>
  <c r="K35" i="1"/>
  <c r="P35" i="1"/>
  <c r="R35" i="1"/>
  <c r="T35" i="1"/>
  <c r="E19" i="2"/>
  <c r="P21" i="1"/>
  <c r="G21" i="1"/>
  <c r="K21" i="1"/>
  <c r="P30" i="1"/>
  <c r="R30" i="1" s="1"/>
  <c r="T30" i="1" s="1"/>
  <c r="G30" i="1"/>
  <c r="K30" i="1"/>
  <c r="G23" i="1"/>
  <c r="K23" i="1"/>
  <c r="P23" i="1"/>
  <c r="R23" i="1" s="1"/>
  <c r="T23" i="1" s="1"/>
  <c r="G41" i="1"/>
  <c r="K41" i="1"/>
  <c r="P41" i="1"/>
  <c r="P33" i="1"/>
  <c r="R33" i="1"/>
  <c r="T33" i="1" s="1"/>
  <c r="K22" i="1"/>
  <c r="P45" i="1"/>
  <c r="R45" i="1"/>
  <c r="T45" i="1"/>
  <c r="E54" i="1"/>
  <c r="F54" i="1"/>
  <c r="G54" i="1"/>
  <c r="K54" i="1"/>
  <c r="G48" i="1"/>
  <c r="K48" i="1"/>
  <c r="E46" i="1"/>
  <c r="F46" i="1"/>
  <c r="W13" i="1"/>
  <c r="E51" i="1"/>
  <c r="F51" i="1"/>
  <c r="E55" i="1"/>
  <c r="F55" i="1"/>
  <c r="P55" i="1"/>
  <c r="G56" i="1"/>
  <c r="K56" i="1"/>
  <c r="E48" i="1"/>
  <c r="F48" i="1"/>
  <c r="P48" i="1"/>
  <c r="P56" i="1"/>
  <c r="E53" i="1"/>
  <c r="F53" i="1"/>
  <c r="P53" i="1"/>
  <c r="G47" i="1"/>
  <c r="K47" i="1"/>
  <c r="W2" i="1"/>
  <c r="P42" i="1"/>
  <c r="R42" i="1"/>
  <c r="T42" i="1"/>
  <c r="G52" i="1"/>
  <c r="K52" i="1"/>
  <c r="E50" i="1"/>
  <c r="F50" i="1"/>
  <c r="P50" i="1"/>
  <c r="R50" i="1" s="1"/>
  <c r="T50" i="1" s="1"/>
  <c r="P51" i="1"/>
  <c r="R51" i="1"/>
  <c r="T51" i="1"/>
  <c r="G51" i="1"/>
  <c r="K51" i="1"/>
  <c r="R39" i="1"/>
  <c r="T39" i="1" s="1"/>
  <c r="G53" i="1"/>
  <c r="K53" i="1"/>
  <c r="R28" i="1"/>
  <c r="T28" i="1" s="1"/>
  <c r="P54" i="1"/>
  <c r="R54" i="1"/>
  <c r="T54" i="1" s="1"/>
  <c r="R55" i="1"/>
  <c r="T55" i="1"/>
  <c r="G55" i="1"/>
  <c r="K55" i="1"/>
  <c r="R31" i="1"/>
  <c r="T31" i="1" s="1"/>
  <c r="E17" i="2"/>
  <c r="R56" i="1"/>
  <c r="T56" i="1"/>
  <c r="R48" i="1"/>
  <c r="T48" i="1" s="1"/>
  <c r="G50" i="1"/>
  <c r="K50" i="1"/>
  <c r="R41" i="1"/>
  <c r="T41" i="1"/>
  <c r="R21" i="1"/>
  <c r="T21" i="1" s="1"/>
  <c r="R49" i="1"/>
  <c r="T49" i="1"/>
  <c r="R47" i="1"/>
  <c r="T47" i="1"/>
  <c r="P46" i="1"/>
  <c r="G46" i="1"/>
  <c r="R46" i="1"/>
  <c r="T46" i="1"/>
  <c r="K46" i="1"/>
  <c r="R53" i="1"/>
  <c r="T53" i="1"/>
  <c r="G58" i="1" l="1"/>
  <c r="K58" i="1" s="1"/>
  <c r="P58" i="1"/>
  <c r="R58" i="1" s="1"/>
  <c r="T58" i="1" s="1"/>
  <c r="G57" i="1"/>
  <c r="D15" i="1"/>
  <c r="C19" i="1" s="1"/>
  <c r="P57" i="1"/>
  <c r="R57" i="1" s="1"/>
  <c r="T57" i="1" s="1"/>
  <c r="D16" i="1"/>
  <c r="D19" i="1" s="1"/>
  <c r="E14" i="1"/>
  <c r="C12" i="1"/>
  <c r="C11" i="1"/>
  <c r="O57" i="1" l="1"/>
  <c r="O58" i="1"/>
  <c r="O47" i="1"/>
  <c r="O54" i="1"/>
  <c r="O45" i="1"/>
  <c r="O55" i="1"/>
  <c r="O52" i="1"/>
  <c r="O46" i="1"/>
  <c r="O53" i="1"/>
  <c r="O49" i="1"/>
  <c r="O51" i="1"/>
  <c r="C15" i="1"/>
  <c r="C18" i="1" s="1"/>
  <c r="O56" i="1"/>
  <c r="O44" i="1"/>
  <c r="O48" i="1"/>
  <c r="O50" i="1"/>
  <c r="C16" i="1"/>
  <c r="D18" i="1" s="1"/>
  <c r="K57" i="1"/>
  <c r="F18" i="1" l="1"/>
  <c r="F19" i="1" s="1"/>
</calcChain>
</file>

<file path=xl/sharedStrings.xml><?xml version="1.0" encoding="utf-8"?>
<sst xmlns="http://schemas.openxmlformats.org/spreadsheetml/2006/main" count="373" uniqueCount="178">
  <si>
    <t>VSB-66</t>
  </si>
  <si>
    <t>IBVS 6244</t>
  </si>
  <si>
    <t>IBVS 6196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</si>
  <si>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</si>
  <si>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</si>
  <si>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</si>
  <si>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</si>
  <si>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</si>
  <si>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</si>
  <si>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</si>
  <si>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</si>
  <si>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</si>
  <si>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</si>
  <si>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</si>
  <si>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</si>
  <si>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</si>
  <si>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</si>
  <si>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</si>
  <si>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</si>
  <si>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</si>
  <si>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</si>
  <si>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</si>
  <si>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</si>
  <si>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</si>
  <si>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</si>
  <si>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</si>
  <si>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</si>
  <si>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</si>
  <si>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</si>
  <si>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</si>
  <si>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</si>
  <si>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</si>
  <si>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</si>
  <si>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</si>
  <si>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</si>
  <si>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Kreiner Eph.</t>
  </si>
  <si>
    <t>LR Com / GSC1448-2869</t>
  </si>
  <si>
    <t>EA</t>
  </si>
  <si>
    <t>Kreiner</t>
  </si>
  <si>
    <t>IBVS 5894</t>
  </si>
  <si>
    <t>I</t>
  </si>
  <si>
    <t>OEJV 0074</t>
  </si>
  <si>
    <t>CCD+R</t>
  </si>
  <si>
    <t>CCD+I</t>
  </si>
  <si>
    <t>II</t>
  </si>
  <si>
    <t>CCD+V</t>
  </si>
  <si>
    <t>OEJV 0107</t>
  </si>
  <si>
    <t>OEJV 0003</t>
  </si>
  <si>
    <t>Add cycle</t>
  </si>
  <si>
    <t>Old Cycle</t>
  </si>
  <si>
    <t>IBVS 5992</t>
  </si>
  <si>
    <t>IBVS 6010</t>
  </si>
  <si>
    <t>IBVS 6029</t>
  </si>
  <si>
    <t>IBVS 6092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</si>
  <si>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</si>
  <si>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</si>
  <si>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</si>
  <si>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</si>
  <si>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</si>
  <si>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</si>
  <si>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</si>
  <si>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</si>
  <si>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</si>
  <si>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</si>
  <si>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</si>
  <si>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</si>
  <si>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</si>
  <si>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</si>
  <si>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</si>
  <si>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</si>
  <si>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</si>
  <si>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2453108.4556 </t>
  </si>
  <si>
    <t> 12.04.2004 22:56 </t>
  </si>
  <si>
    <t> -0.0013 </t>
  </si>
  <si>
    <t>C </t>
  </si>
  <si>
    <t>R</t>
  </si>
  <si>
    <t> L.Šmelcer </t>
  </si>
  <si>
    <t>OEJV 0074 </t>
  </si>
  <si>
    <t>2453109.3542 </t>
  </si>
  <si>
    <t> 13.04.2004 20:30 </t>
  </si>
  <si>
    <t> 0.0010 </t>
  </si>
  <si>
    <t>2453117.4185 </t>
  </si>
  <si>
    <t> 21.04.2004 22:02 </t>
  </si>
  <si>
    <t> -0.0014 </t>
  </si>
  <si>
    <t>2453340.5965 </t>
  </si>
  <si>
    <t> 01.12.2004 02:18 </t>
  </si>
  <si>
    <t> -0.0011 </t>
  </si>
  <si>
    <t>2453374.665 </t>
  </si>
  <si>
    <t> 04.01.2005 03:57 </t>
  </si>
  <si>
    <t> 0.008 </t>
  </si>
  <si>
    <t>V </t>
  </si>
  <si>
    <t> K.Locher </t>
  </si>
  <si>
    <t>OEJV 0003 </t>
  </si>
  <si>
    <t>2453388.5489 </t>
  </si>
  <si>
    <t> 18.01.2005 01:10 </t>
  </si>
  <si>
    <t> -0.0006 </t>
  </si>
  <si>
    <t>2453409.6115 </t>
  </si>
  <si>
    <t> 08.02.2005 02:40 </t>
  </si>
  <si>
    <t> -0.0009 </t>
  </si>
  <si>
    <t>2453454.4268 </t>
  </si>
  <si>
    <t> 24.03.2005 22:14 </t>
  </si>
  <si>
    <t> -0.0005 </t>
  </si>
  <si>
    <t>2453462.4927 </t>
  </si>
  <si>
    <t> 01.04.2005 23:49 </t>
  </si>
  <si>
    <t> -0.0012 </t>
  </si>
  <si>
    <t>2453463.3899 </t>
  </si>
  <si>
    <t> 02.04.2005 21:21 </t>
  </si>
  <si>
    <t> -0.0003 </t>
  </si>
  <si>
    <t>2453515.3781 </t>
  </si>
  <si>
    <t> 24.05.2005 21:04 </t>
  </si>
  <si>
    <t> 0.0027 </t>
  </si>
  <si>
    <t>2453791.4353 </t>
  </si>
  <si>
    <t> 24.02.2006 22:26 </t>
  </si>
  <si>
    <t> 0.0006 </t>
  </si>
  <si>
    <t>2453833.5606 </t>
  </si>
  <si>
    <t> 08.04.2006 01:27 </t>
  </si>
  <si>
    <t> 0.0000 </t>
  </si>
  <si>
    <t>2453848.3517 </t>
  </si>
  <si>
    <t> 22.04.2006 20:26 </t>
  </si>
  <si>
    <t> 0.0022 </t>
  </si>
  <si>
    <t>2454171.4641 </t>
  </si>
  <si>
    <t> 11.03.2007 23:08 </t>
  </si>
  <si>
    <t> -0.0002 </t>
  </si>
  <si>
    <t>2454171.4642 </t>
  </si>
  <si>
    <t> -0.0001 </t>
  </si>
  <si>
    <t>2454171.4646 </t>
  </si>
  <si>
    <t> 11.03.2007 23:09 </t>
  </si>
  <si>
    <t> 0.0003 </t>
  </si>
  <si>
    <t>2454202.3860 </t>
  </si>
  <si>
    <t> 11.04.2007 21:15 </t>
  </si>
  <si>
    <t>2454202.3883 </t>
  </si>
  <si>
    <t> 11.04.2007 21:19 </t>
  </si>
  <si>
    <t> 0.0018 </t>
  </si>
  <si>
    <t>2454572.1085 </t>
  </si>
  <si>
    <t> 15.04.2008 14:36 </t>
  </si>
  <si>
    <t> H.Itoh </t>
  </si>
  <si>
    <t>VSB 48 </t>
  </si>
  <si>
    <t>2454884.9132 </t>
  </si>
  <si>
    <t> 22.02.2009 09:55 </t>
  </si>
  <si>
    <t> -0.0030 </t>
  </si>
  <si>
    <t> R.Diethelm </t>
  </si>
  <si>
    <t>IBVS 5894 </t>
  </si>
  <si>
    <t>2454937.3484 </t>
  </si>
  <si>
    <t> 15.04.2009 20:21 </t>
  </si>
  <si>
    <t> R.Ehrenberger </t>
  </si>
  <si>
    <t>OEJV 0107 </t>
  </si>
  <si>
    <t>2455654.8337 </t>
  </si>
  <si>
    <t> 03.04.2011 08:00 </t>
  </si>
  <si>
    <t> -0.0010 </t>
  </si>
  <si>
    <t>IBVS 5992 </t>
  </si>
  <si>
    <t>2455667.3825 </t>
  </si>
  <si>
    <t> 15.04.2011 21:10 </t>
  </si>
  <si>
    <t>o</t>
  </si>
  <si>
    <t> J.Schirmer </t>
  </si>
  <si>
    <t>BAVM 220 </t>
  </si>
  <si>
    <t>2455973.9181 </t>
  </si>
  <si>
    <t> 16.02.2012 10:02 </t>
  </si>
  <si>
    <t> 0.0019 </t>
  </si>
  <si>
    <t>IBVS 6029 </t>
  </si>
  <si>
    <t>2455982.8804 </t>
  </si>
  <si>
    <t> 25.02.2012 09:07 </t>
  </si>
  <si>
    <t> 0.0013 </t>
  </si>
  <si>
    <t>2456363.806 </t>
  </si>
  <si>
    <t> 12.03.2013 07:20 </t>
  </si>
  <si>
    <t> 0.001 </t>
  </si>
  <si>
    <t> R.Nelson </t>
  </si>
  <si>
    <t>IBVS 6092 </t>
  </si>
  <si>
    <t>2457021.692 </t>
  </si>
  <si>
    <t> 30.12.2014 04:36 </t>
  </si>
  <si>
    <t> 0.005 </t>
  </si>
  <si>
    <t> A.Paschke </t>
  </si>
  <si>
    <t>OEJV 0172 </t>
  </si>
  <si>
    <t>IBVS 6154</t>
  </si>
  <si>
    <t>JAVSO..43..238</t>
  </si>
  <si>
    <t>VSB-64</t>
  </si>
  <si>
    <t>Rc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</si>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</sst>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"/>
    <numFmt numFmtId="177" formatCode="0.0000"/>
    <numFmt numFmtId="178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6" fillId="0" borderId="0" xfId="0" applyFont="1" applyAlignment="1"/>
    <xf numFmtId="0" fontId="14" fillId="0" borderId="0" xfId="0" applyFont="1" applyAlignment="1"/>
    <xf numFmtId="14" fontId="16" fillId="0" borderId="0" xfId="0" applyNumberFormat="1" applyFont="1" applyAlignment="1"/>
    <xf numFmtId="0" fontId="1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1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18" fillId="24" borderId="24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/>
    <xf numFmtId="0" fontId="35" fillId="0" borderId="0" xfId="0" applyFont="1" applyAlignment="1"/>
    <xf numFmtId="0" fontId="37" fillId="0" borderId="0" xfId="0" applyNumberFormat="1" applyFont="1" applyFill="1" applyBorder="1" applyAlignment="1" applyProtection="1">
      <alignment horizontal="left" vertical="top"/>
    </xf>
    <xf numFmtId="0" fontId="35" fillId="0" borderId="0" xfId="0" applyNumberFormat="1" applyFont="1" applyFill="1" applyBorder="1" applyAlignment="1" applyProtection="1">
      <alignment horizontal="center" vertical="top"/>
    </xf>
    <xf numFmtId="172" fontId="35" fillId="0" borderId="0" xfId="0" applyNumberFormat="1" applyFont="1" applyFill="1" applyBorder="1" applyAlignment="1" applyProtection="1">
      <alignment horizontal="left"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0" xfId="0" applyFont="1" applyBorder="1" applyAlignment="1">
      <alignment horizontal="center"/>
    </xf>
    <xf numFmtId="177" fontId="38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8" fontId="40" fillId="0" borderId="0" xfId="0" applyNumberFormat="1" applyFont="1" applyAlignment="1">
      <alignment vertical="center" wrapText="1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Com - O-C Diagr.</a:t>
            </a:r>
          </a:p>
        </c:rich>
      </c:tx>
      <c:layout>
        <c:manualLayout>
          <c:xMode val="edge"/>
          <c:yMode val="edge"/>
          <c:x val="0.3819548872180451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5534029676216363"/>
          <c:w val="0.81203007518796988"/>
          <c:h val="0.60841616231847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6-4781-A4F6-B7FED28240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5">
                  <c:v>8.1124999996973202E-3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6-4781-A4F6-B7FED28240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4">
                  <c:v>-8.3450000238372013E-4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96-4781-A4F6-B7FED28240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0</c:v>
                </c:pt>
                <c:pt idx="1">
                  <c:v>-1.2270000006537884E-3</c:v>
                </c:pt>
                <c:pt idx="2">
                  <c:v>1.0564999975031242E-3</c:v>
                </c:pt>
                <c:pt idx="3">
                  <c:v>-1.3420000032056123E-3</c:v>
                </c:pt>
                <c:pt idx="4">
                  <c:v>-1.1105000012321398E-3</c:v>
                </c:pt>
                <c:pt idx="6">
                  <c:v>-6.33250005193986E-4</c:v>
                </c:pt>
                <c:pt idx="7">
                  <c:v>-9.7100000130012631E-4</c:v>
                </c:pt>
                <c:pt idx="8">
                  <c:v>-4.8600000445730984E-4</c:v>
                </c:pt>
                <c:pt idx="9">
                  <c:v>-1.2644999951589853E-3</c:v>
                </c:pt>
                <c:pt idx="10">
                  <c:v>-3.6099999852012843E-4</c:v>
                </c:pt>
                <c:pt idx="11">
                  <c:v>2.701999997952953E-3</c:v>
                </c:pt>
                <c:pt idx="12">
                  <c:v>4.8999999853549525E-4</c:v>
                </c:pt>
                <c:pt idx="13">
                  <c:v>-1.0550000297371298E-4</c:v>
                </c:pt>
                <c:pt idx="14">
                  <c:v>2.142249999451451E-3</c:v>
                </c:pt>
                <c:pt idx="15">
                  <c:v>-3.8599999970756471E-4</c:v>
                </c:pt>
                <c:pt idx="16">
                  <c:v>-2.860000022337772E-4</c:v>
                </c:pt>
                <c:pt idx="17">
                  <c:v>1.140000022132881E-4</c:v>
                </c:pt>
                <c:pt idx="18">
                  <c:v>-6.6525000147521496E-4</c:v>
                </c:pt>
                <c:pt idx="19">
                  <c:v>1.6347499986295588E-3</c:v>
                </c:pt>
                <c:pt idx="20">
                  <c:v>-5.115000021760352E-4</c:v>
                </c:pt>
                <c:pt idx="21">
                  <c:v>-3.2900000005611219E-3</c:v>
                </c:pt>
                <c:pt idx="22">
                  <c:v>-1.4352500002132729E-3</c:v>
                </c:pt>
                <c:pt idx="23">
                  <c:v>-1.4834999965387397E-3</c:v>
                </c:pt>
                <c:pt idx="25">
                  <c:v>1.3624999992316589E-3</c:v>
                </c:pt>
                <c:pt idx="26">
                  <c:v>6.9749999966006726E-4</c:v>
                </c:pt>
                <c:pt idx="27">
                  <c:v>2.8499999461928383E-4</c:v>
                </c:pt>
                <c:pt idx="28">
                  <c:v>4.6540000039385632E-3</c:v>
                </c:pt>
                <c:pt idx="29">
                  <c:v>5.0507499981904402E-3</c:v>
                </c:pt>
                <c:pt idx="30">
                  <c:v>5.0634999934118241E-3</c:v>
                </c:pt>
                <c:pt idx="31">
                  <c:v>7.8829999984009191E-3</c:v>
                </c:pt>
                <c:pt idx="32">
                  <c:v>9.6109999940381385E-3</c:v>
                </c:pt>
                <c:pt idx="33">
                  <c:v>8.9354999945499003E-3</c:v>
                </c:pt>
                <c:pt idx="34">
                  <c:v>9.9670001218328252E-3</c:v>
                </c:pt>
                <c:pt idx="35">
                  <c:v>1.0621249879477546E-2</c:v>
                </c:pt>
                <c:pt idx="36">
                  <c:v>1.2168499997642357E-2</c:v>
                </c:pt>
                <c:pt idx="37">
                  <c:v>1.2671999997110106E-2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96-4781-A4F6-B7FED28240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96-4781-A4F6-B7FED28240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96-4781-A4F6-B7FED28240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96-4781-A4F6-B7FED28240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6362</c:v>
                </c:pt>
                <c:pt idx="35">
                  <c:v>5957.5</c:v>
                </c:pt>
                <c:pt idx="36">
                  <c:v>7591</c:v>
                </c:pt>
                <c:pt idx="37">
                  <c:v>7592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23">
                  <c:v>-1.6212659709216072E-4</c:v>
                </c:pt>
                <c:pt idx="24">
                  <c:v>-1.141577444745915E-4</c:v>
                </c:pt>
                <c:pt idx="25">
                  <c:v>1.0576527980403136E-3</c:v>
                </c:pt>
                <c:pt idx="26">
                  <c:v>1.0919162641957192E-3</c:v>
                </c:pt>
                <c:pt idx="27">
                  <c:v>2.5481135758004987E-3</c:v>
                </c:pt>
                <c:pt idx="28">
                  <c:v>5.0630519916073403E-3</c:v>
                </c:pt>
                <c:pt idx="29">
                  <c:v>5.3046094280029578E-3</c:v>
                </c:pt>
                <c:pt idx="30">
                  <c:v>5.4639345456255969E-3</c:v>
                </c:pt>
                <c:pt idx="31">
                  <c:v>6.7556672196844234E-3</c:v>
                </c:pt>
                <c:pt idx="32">
                  <c:v>8.1536166388250127E-3</c:v>
                </c:pt>
                <c:pt idx="33">
                  <c:v>8.1776010651337973E-3</c:v>
                </c:pt>
                <c:pt idx="34">
                  <c:v>9.5789768308899258E-3</c:v>
                </c:pt>
                <c:pt idx="35">
                  <c:v>8.1930196249037288E-3</c:v>
                </c:pt>
                <c:pt idx="36">
                  <c:v>1.3789956821389393E-2</c:v>
                </c:pt>
                <c:pt idx="37">
                  <c:v>1.3793383168004932E-2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96-4781-A4F6-B7FED282409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Active!$V$2:$V$15</c:f>
              <c:numCache>
                <c:formatCode>General</c:formatCode>
                <c:ptCount val="14"/>
                <c:pt idx="0">
                  <c:v>-500</c:v>
                </c:pt>
                <c:pt idx="1">
                  <c:v>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3500</c:v>
                </c:pt>
                <c:pt idx="9">
                  <c:v>4000</c:v>
                </c:pt>
                <c:pt idx="10">
                  <c:v>4500</c:v>
                </c:pt>
                <c:pt idx="11">
                  <c:v>5000</c:v>
                </c:pt>
                <c:pt idx="12">
                  <c:v>5500</c:v>
                </c:pt>
                <c:pt idx="13">
                  <c:v>6000</c:v>
                </c:pt>
              </c:numCache>
            </c:numRef>
          </c:xVal>
          <c:yVal>
            <c:numRef>
              <c:f>Active!$W$2:$W$15</c:f>
              <c:numCache>
                <c:formatCode>General</c:formatCode>
                <c:ptCount val="14"/>
                <c:pt idx="0">
                  <c:v>2.8893851351291188E-3</c:v>
                </c:pt>
                <c:pt idx="1">
                  <c:v>1.5662974393329033E-3</c:v>
                </c:pt>
                <c:pt idx="2">
                  <c:v>5.3268974103303597E-4</c:v>
                </c:pt>
                <c:pt idx="3">
                  <c:v>-2.1143795977048333E-4</c:v>
                </c:pt>
                <c:pt idx="4">
                  <c:v>-6.6608566307765492E-4</c:v>
                </c:pt>
                <c:pt idx="5">
                  <c:v>-8.312533688884776E-4</c:v>
                </c:pt>
                <c:pt idx="6">
                  <c:v>-7.0694107720295366E-4</c:v>
                </c:pt>
                <c:pt idx="7">
                  <c:v>-2.9314878802107983E-4</c:v>
                </c:pt>
                <c:pt idx="8">
                  <c:v>4.1012349865714084E-4</c:v>
                </c:pt>
                <c:pt idx="9">
                  <c:v>1.4028757828317105E-3</c:v>
                </c:pt>
                <c:pt idx="10">
                  <c:v>2.6851080645026275E-3</c:v>
                </c:pt>
                <c:pt idx="11">
                  <c:v>4.2568203436698926E-3</c:v>
                </c:pt>
                <c:pt idx="12">
                  <c:v>6.1180126203335076E-3</c:v>
                </c:pt>
                <c:pt idx="13">
                  <c:v>8.2686848944934672E-3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96-4781-A4F6-B7FED282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8816"/>
        <c:axId val="1"/>
      </c:scatterChart>
      <c:valAx>
        <c:axId val="754648816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246056621563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1586066304818692"/>
          <c:w val="0.71879699248120299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17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852BFFC-E927-BF4C-9443-D5F83AC04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solj.cetus-net.org/no48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107.pdf" TargetMode="External"/><Relationship Id="rId27" Type="http://schemas.openxmlformats.org/officeDocument/2006/relationships/hyperlink" Target="http://www.konkoly.hu/cgi-bin/IBVS?6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22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36</v>
      </c>
      <c r="V1" s="4" t="s">
        <v>11</v>
      </c>
      <c r="W1" s="6" t="s">
        <v>22</v>
      </c>
    </row>
    <row r="2" spans="1:23" x14ac:dyDescent="0.2">
      <c r="A2" t="s">
        <v>24</v>
      </c>
      <c r="B2" t="s">
        <v>37</v>
      </c>
      <c r="C2" s="3"/>
      <c r="D2" s="3"/>
      <c r="V2" s="43">
        <v>-500</v>
      </c>
      <c r="W2" s="43">
        <f t="shared" ref="W2:W19" si="0">+D$11+D$12*V2+D$13*V2^2</f>
        <v>2.8893851351291188E-3</v>
      </c>
    </row>
    <row r="3" spans="1:23" ht="13.5" thickBot="1" x14ac:dyDescent="0.25">
      <c r="V3" s="43">
        <v>0</v>
      </c>
      <c r="W3" s="43">
        <f t="shared" si="0"/>
        <v>1.5662974393329033E-3</v>
      </c>
    </row>
    <row r="4" spans="1:23" ht="14.25" thickTop="1" thickBot="1" x14ac:dyDescent="0.25">
      <c r="A4" s="5" t="s">
        <v>35</v>
      </c>
      <c r="C4" s="8">
        <v>52500.767800000001</v>
      </c>
      <c r="D4" s="9">
        <v>0.89629650000000005</v>
      </c>
      <c r="V4" s="43">
        <v>500</v>
      </c>
      <c r="W4" s="43">
        <f t="shared" si="0"/>
        <v>5.3268974103303597E-4</v>
      </c>
    </row>
    <row r="5" spans="1:23" ht="13.5" thickTop="1" x14ac:dyDescent="0.2">
      <c r="A5" s="11" t="s">
        <v>29</v>
      </c>
      <c r="B5" s="12"/>
      <c r="C5" s="13">
        <v>-9.5</v>
      </c>
      <c r="D5" s="12" t="s">
        <v>30</v>
      </c>
      <c r="V5" s="43">
        <v>1000</v>
      </c>
      <c r="W5" s="43">
        <f t="shared" si="0"/>
        <v>-2.1143795977048333E-4</v>
      </c>
    </row>
    <row r="6" spans="1:23" x14ac:dyDescent="0.2">
      <c r="A6" s="5" t="s">
        <v>3</v>
      </c>
      <c r="V6" s="43">
        <v>1500</v>
      </c>
      <c r="W6" s="43">
        <f t="shared" si="0"/>
        <v>-6.6608566307765492E-4</v>
      </c>
    </row>
    <row r="7" spans="1:23" x14ac:dyDescent="0.2">
      <c r="A7" t="s">
        <v>4</v>
      </c>
      <c r="C7">
        <f>+C4</f>
        <v>52500.767800000001</v>
      </c>
      <c r="V7" s="43">
        <v>2000</v>
      </c>
      <c r="W7" s="43">
        <f t="shared" si="0"/>
        <v>-8.312533688884776E-4</v>
      </c>
    </row>
    <row r="8" spans="1:23" x14ac:dyDescent="0.2">
      <c r="A8" t="s">
        <v>5</v>
      </c>
      <c r="C8">
        <f>+D4</f>
        <v>0.89629650000000005</v>
      </c>
      <c r="V8" s="43">
        <v>2500</v>
      </c>
      <c r="W8" s="43">
        <f t="shared" si="0"/>
        <v>-7.0694107720295366E-4</v>
      </c>
    </row>
    <row r="9" spans="1:23" x14ac:dyDescent="0.2">
      <c r="A9" s="24" t="s">
        <v>34</v>
      </c>
      <c r="C9" s="25">
        <v>46</v>
      </c>
      <c r="D9" s="22" t="str">
        <f>"F"&amp;C9</f>
        <v>F46</v>
      </c>
      <c r="E9" s="23" t="str">
        <f>"G"&amp;C9</f>
        <v>G46</v>
      </c>
      <c r="V9" s="43">
        <v>3000</v>
      </c>
      <c r="W9" s="43">
        <f t="shared" si="0"/>
        <v>-2.9314878802107983E-4</v>
      </c>
    </row>
    <row r="10" spans="1:23" ht="13.5" thickBot="1" x14ac:dyDescent="0.25">
      <c r="A10" s="12"/>
      <c r="B10" s="12"/>
      <c r="C10" s="4" t="s">
        <v>20</v>
      </c>
      <c r="D10" s="4" t="s">
        <v>21</v>
      </c>
      <c r="E10" s="12"/>
      <c r="V10" s="43">
        <v>3500</v>
      </c>
      <c r="W10" s="43">
        <f t="shared" si="0"/>
        <v>4.1012349865714084E-4</v>
      </c>
    </row>
    <row r="11" spans="1:23" x14ac:dyDescent="0.2">
      <c r="A11" s="12" t="s">
        <v>16</v>
      </c>
      <c r="B11" s="12"/>
      <c r="C11" s="21">
        <f ca="1">INTERCEPT(INDIRECT($E$9):G974,INDIRECT($D$9):F974)</f>
        <v>-1.221944033717973E-2</v>
      </c>
      <c r="D11" s="3">
        <f>+E11*F11</f>
        <v>1.5662974393329033E-3</v>
      </c>
      <c r="E11" s="33">
        <v>1.5662974393329033E-3</v>
      </c>
      <c r="F11">
        <v>1</v>
      </c>
      <c r="V11" s="43">
        <v>4000</v>
      </c>
      <c r="W11" s="43">
        <f t="shared" si="0"/>
        <v>1.4028757828317105E-3</v>
      </c>
    </row>
    <row r="12" spans="1:23" x14ac:dyDescent="0.2">
      <c r="A12" s="12" t="s">
        <v>17</v>
      </c>
      <c r="B12" s="12"/>
      <c r="C12" s="21">
        <f ca="1">SLOPE(INDIRECT($E$9):G974,INDIRECT($D$9):F974)</f>
        <v>3.4263466155406564E-6</v>
      </c>
      <c r="D12" s="3">
        <f>+E12*F12</f>
        <v>-2.356695394096083E-6</v>
      </c>
      <c r="E12" s="34">
        <v>-2.3566953940960828E-2</v>
      </c>
      <c r="F12" s="35">
        <v>1E-4</v>
      </c>
      <c r="V12" s="43">
        <v>4500</v>
      </c>
      <c r="W12" s="43">
        <f t="shared" si="0"/>
        <v>2.6851080645026275E-3</v>
      </c>
    </row>
    <row r="13" spans="1:23" ht="13.5" thickBot="1" x14ac:dyDescent="0.25">
      <c r="A13" s="12" t="s">
        <v>19</v>
      </c>
      <c r="B13" s="12"/>
      <c r="C13" s="3" t="s">
        <v>14</v>
      </c>
      <c r="D13" s="3">
        <f>+E13*F13</f>
        <v>5.7895999499269622E-10</v>
      </c>
      <c r="E13" s="36">
        <v>5.7895999499269615E-2</v>
      </c>
      <c r="F13" s="35">
        <v>1E-8</v>
      </c>
      <c r="V13" s="43">
        <v>5000</v>
      </c>
      <c r="W13" s="43">
        <f t="shared" si="0"/>
        <v>4.2568203436698926E-3</v>
      </c>
    </row>
    <row r="14" spans="1:23" x14ac:dyDescent="0.2">
      <c r="A14" s="12"/>
      <c r="B14" s="12"/>
      <c r="C14" s="12"/>
      <c r="E14">
        <f>SUM(T21:T933)</f>
        <v>1.1468061000398152E-4</v>
      </c>
      <c r="V14" s="43">
        <v>5500</v>
      </c>
      <c r="W14" s="43">
        <f t="shared" si="0"/>
        <v>6.1180126203335076E-3</v>
      </c>
    </row>
    <row r="15" spans="1:23" x14ac:dyDescent="0.2">
      <c r="A15" s="14" t="s">
        <v>18</v>
      </c>
      <c r="B15" s="12"/>
      <c r="C15" s="15">
        <f ca="1">(C7+C11)+(C8+C12)*INT(MAX(F21:F3515))</f>
        <v>59305.464621383173</v>
      </c>
      <c r="D15" s="23">
        <f>+C7+INT(MAX(F21:F1571))*C8+D11+D12*INT(MAX(F21:F4006))+D13*INT(MAX(F21:F4033)^2)</f>
        <v>59305.467872630841</v>
      </c>
      <c r="E15" s="16" t="s">
        <v>48</v>
      </c>
      <c r="F15" s="13">
        <v>1</v>
      </c>
      <c r="V15" s="43">
        <v>6000</v>
      </c>
      <c r="W15" s="43">
        <f t="shared" si="0"/>
        <v>8.2686848944934672E-3</v>
      </c>
    </row>
    <row r="16" spans="1:23" x14ac:dyDescent="0.2">
      <c r="A16" s="18" t="s">
        <v>6</v>
      </c>
      <c r="B16" s="12"/>
      <c r="C16" s="19">
        <f ca="1">+C8+C12</f>
        <v>0.89629992634661559</v>
      </c>
      <c r="D16" s="23">
        <f>+C8+D12+2*D13*MAX(F21:F879)</f>
        <v>0.89630293423316998</v>
      </c>
      <c r="E16" s="16" t="s">
        <v>31</v>
      </c>
      <c r="F16" s="17">
        <f ca="1">NOW()+15018.5+$C$5/24</f>
        <v>59955.821293055553</v>
      </c>
      <c r="V16" s="88">
        <v>6500</v>
      </c>
      <c r="W16" s="88">
        <f t="shared" si="0"/>
        <v>1.070883716614978E-2</v>
      </c>
    </row>
    <row r="17" spans="1:23" ht="13.5" thickBot="1" x14ac:dyDescent="0.25">
      <c r="A17" s="16" t="s">
        <v>28</v>
      </c>
      <c r="B17" s="12"/>
      <c r="C17" s="12">
        <f>COUNT(C21:C2173)</f>
        <v>38</v>
      </c>
      <c r="E17" s="16" t="s">
        <v>49</v>
      </c>
      <c r="F17" s="17">
        <f ca="1">ROUND(2*(F16-$C$7)/$C$8,0)/2+F15</f>
        <v>8318.5</v>
      </c>
      <c r="V17" s="88">
        <v>7000</v>
      </c>
      <c r="W17" s="88">
        <f t="shared" si="0"/>
        <v>1.3438469435302436E-2</v>
      </c>
    </row>
    <row r="18" spans="1:23" ht="14.25" thickTop="1" thickBot="1" x14ac:dyDescent="0.25">
      <c r="A18" s="5" t="s">
        <v>54</v>
      </c>
      <c r="C18" s="37">
        <f ca="1">+C15</f>
        <v>59305.464621383173</v>
      </c>
      <c r="D18" s="38">
        <f ca="1">C16</f>
        <v>0.89629992634661559</v>
      </c>
      <c r="E18" s="16" t="s">
        <v>32</v>
      </c>
      <c r="F18" s="23">
        <f ca="1">ROUND(2*(F16-$C$15)/$C$16,0)/2+F15</f>
        <v>726.5</v>
      </c>
      <c r="V18" s="88">
        <v>7500</v>
      </c>
      <c r="W18" s="88">
        <f t="shared" si="0"/>
        <v>1.6457581701951447E-2</v>
      </c>
    </row>
    <row r="19" spans="1:23" ht="13.5" thickBot="1" x14ac:dyDescent="0.25">
      <c r="A19" s="5" t="s">
        <v>55</v>
      </c>
      <c r="C19" s="39">
        <f>+D15</f>
        <v>59305.467872630841</v>
      </c>
      <c r="D19" s="40">
        <f>+D16</f>
        <v>0.89630293423316998</v>
      </c>
      <c r="E19" s="16" t="s">
        <v>33</v>
      </c>
      <c r="F19" s="20">
        <f ca="1">+$C$15+$C$16*F18-15018.5-$C$5/24</f>
        <v>44938.522351207328</v>
      </c>
      <c r="V19" s="88">
        <v>8000</v>
      </c>
      <c r="W19" s="88">
        <f t="shared" si="0"/>
        <v>1.9766173966096798E-2</v>
      </c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25</v>
      </c>
      <c r="M20" s="7" t="s">
        <v>26</v>
      </c>
      <c r="N20" s="7" t="s">
        <v>27</v>
      </c>
      <c r="O20" s="7" t="s">
        <v>23</v>
      </c>
      <c r="P20" s="41" t="s">
        <v>22</v>
      </c>
      <c r="Q20" s="4" t="s">
        <v>15</v>
      </c>
      <c r="R20" s="42" t="s">
        <v>56</v>
      </c>
      <c r="S20" s="6" t="s">
        <v>57</v>
      </c>
      <c r="T20" s="42" t="s">
        <v>58</v>
      </c>
    </row>
    <row r="21" spans="1:23" x14ac:dyDescent="0.2">
      <c r="A21" t="s">
        <v>38</v>
      </c>
      <c r="C21" s="10">
        <v>52500.767800000001</v>
      </c>
      <c r="D21" s="10" t="s">
        <v>14</v>
      </c>
      <c r="E21">
        <f t="shared" ref="E21:E55" si="1">+(C21-C$7)/C$8</f>
        <v>0</v>
      </c>
      <c r="F21">
        <f t="shared" ref="F21:F56" si="2">ROUND(2*E21,0)/2</f>
        <v>0</v>
      </c>
      <c r="G21">
        <f t="shared" ref="G21:G55" si="3">+C21-(C$7+F21*C$8)</f>
        <v>0</v>
      </c>
      <c r="K21">
        <f>+G21</f>
        <v>0</v>
      </c>
      <c r="O21" s="43"/>
      <c r="P21" s="44">
        <f t="shared" ref="P21:P55" si="4">+D$11+D$12*F21+D$13*F21^2</f>
        <v>1.5662974393329033E-3</v>
      </c>
      <c r="Q21" s="45">
        <f t="shared" ref="Q21:Q55" si="5">+C21-15018.5</f>
        <v>37482.267800000001</v>
      </c>
      <c r="R21" s="43">
        <f t="shared" ref="R21:R55" si="6">+(P21-G21)^2</f>
        <v>2.4532876684608101E-6</v>
      </c>
      <c r="S21" s="43">
        <v>1</v>
      </c>
      <c r="T21" s="43">
        <f t="shared" ref="T21:T55" si="7">+S21*R21</f>
        <v>2.4532876684608101E-6</v>
      </c>
    </row>
    <row r="22" spans="1:23" x14ac:dyDescent="0.2">
      <c r="A22" s="26" t="s">
        <v>41</v>
      </c>
      <c r="B22" s="27" t="s">
        <v>40</v>
      </c>
      <c r="C22" s="26">
        <v>53108.455600000001</v>
      </c>
      <c r="D22" s="26" t="s">
        <v>42</v>
      </c>
      <c r="E22">
        <f t="shared" si="1"/>
        <v>677.99863103336861</v>
      </c>
      <c r="F22">
        <f t="shared" si="2"/>
        <v>678</v>
      </c>
      <c r="G22">
        <f t="shared" si="3"/>
        <v>-1.2270000006537884E-3</v>
      </c>
      <c r="K22">
        <f>+G22</f>
        <v>-1.2270000006537884E-3</v>
      </c>
      <c r="P22" s="44">
        <f t="shared" si="4"/>
        <v>2.3459660847398165E-4</v>
      </c>
      <c r="Q22" s="2">
        <f t="shared" si="5"/>
        <v>38089.955600000001</v>
      </c>
      <c r="R22" s="43">
        <f t="shared" si="6"/>
        <v>2.1362646478137953E-6</v>
      </c>
      <c r="S22" s="43">
        <v>1</v>
      </c>
      <c r="T22" s="43">
        <f t="shared" si="7"/>
        <v>2.1362646478137953E-6</v>
      </c>
    </row>
    <row r="23" spans="1:23" x14ac:dyDescent="0.2">
      <c r="A23" s="26" t="s">
        <v>41</v>
      </c>
      <c r="B23" s="27" t="s">
        <v>40</v>
      </c>
      <c r="C23" s="26">
        <v>53109.354180000002</v>
      </c>
      <c r="D23" s="26" t="s">
        <v>42</v>
      </c>
      <c r="E23">
        <f t="shared" si="1"/>
        <v>679.00117873940223</v>
      </c>
      <c r="F23">
        <f t="shared" si="2"/>
        <v>679</v>
      </c>
      <c r="G23">
        <f t="shared" si="3"/>
        <v>1.0564999975031242E-3</v>
      </c>
      <c r="K23">
        <f>+G23</f>
        <v>1.0564999975031242E-3</v>
      </c>
      <c r="P23" s="44">
        <f t="shared" si="4"/>
        <v>2.3302556179309049E-4</v>
      </c>
      <c r="Q23" s="2">
        <f t="shared" si="5"/>
        <v>38090.854180000002</v>
      </c>
      <c r="R23" s="43">
        <f t="shared" si="6"/>
        <v>6.7811014626795832E-7</v>
      </c>
      <c r="S23" s="43">
        <v>1</v>
      </c>
      <c r="T23" s="43">
        <f t="shared" si="7"/>
        <v>6.7811014626795832E-7</v>
      </c>
    </row>
    <row r="24" spans="1:23" x14ac:dyDescent="0.2">
      <c r="A24" s="26" t="s">
        <v>41</v>
      </c>
      <c r="B24" s="27" t="s">
        <v>40</v>
      </c>
      <c r="C24" s="26">
        <v>53117.418449999997</v>
      </c>
      <c r="D24" s="26" t="s">
        <v>42</v>
      </c>
      <c r="E24">
        <f t="shared" si="1"/>
        <v>687.99850272760841</v>
      </c>
      <c r="F24">
        <f t="shared" si="2"/>
        <v>688</v>
      </c>
      <c r="G24">
        <f t="shared" si="3"/>
        <v>-1.3420000032056123E-3</v>
      </c>
      <c r="K24">
        <f>+G24</f>
        <v>-1.3420000032056123E-3</v>
      </c>
      <c r="P24" s="44">
        <f t="shared" si="4"/>
        <v>2.1893824806462094E-4</v>
      </c>
      <c r="Q24" s="2">
        <f t="shared" si="5"/>
        <v>38098.918449999997</v>
      </c>
      <c r="R24" s="43">
        <f t="shared" si="6"/>
        <v>2.4365282242785741E-6</v>
      </c>
      <c r="S24" s="43">
        <v>1</v>
      </c>
      <c r="T24" s="43">
        <f t="shared" si="7"/>
        <v>2.4365282242785741E-6</v>
      </c>
    </row>
    <row r="25" spans="1:23" x14ac:dyDescent="0.2">
      <c r="A25" s="26" t="s">
        <v>41</v>
      </c>
      <c r="B25" s="27" t="s">
        <v>40</v>
      </c>
      <c r="C25" s="26">
        <v>53340.596510000003</v>
      </c>
      <c r="D25" s="26" t="s">
        <v>43</v>
      </c>
      <c r="E25">
        <f t="shared" si="1"/>
        <v>936.99876101268001</v>
      </c>
      <c r="F25">
        <f t="shared" si="2"/>
        <v>937</v>
      </c>
      <c r="G25">
        <f t="shared" si="3"/>
        <v>-1.1105000012321398E-3</v>
      </c>
      <c r="K25">
        <f>+G25</f>
        <v>-1.1105000012321398E-3</v>
      </c>
      <c r="P25" s="44">
        <f t="shared" si="4"/>
        <v>-1.3361721709138398E-4</v>
      </c>
      <c r="Q25" s="2">
        <f t="shared" si="5"/>
        <v>38322.096510000003</v>
      </c>
      <c r="R25" s="43">
        <f t="shared" si="6"/>
        <v>9.5429997395059471E-7</v>
      </c>
      <c r="S25" s="43">
        <v>1</v>
      </c>
      <c r="T25" s="43">
        <f t="shared" si="7"/>
        <v>9.5429997395059471E-7</v>
      </c>
    </row>
    <row r="26" spans="1:23" x14ac:dyDescent="0.2">
      <c r="A26" s="28" t="s">
        <v>47</v>
      </c>
      <c r="B26" s="29" t="s">
        <v>40</v>
      </c>
      <c r="C26" s="30">
        <v>53374.665000000001</v>
      </c>
      <c r="D26" s="30">
        <v>5.0000000000000001E-3</v>
      </c>
      <c r="E26">
        <f t="shared" si="1"/>
        <v>975.00905113430588</v>
      </c>
      <c r="F26">
        <f t="shared" si="2"/>
        <v>975</v>
      </c>
      <c r="G26">
        <f t="shared" si="3"/>
        <v>8.1124999996973202E-3</v>
      </c>
      <c r="I26">
        <f>+G26</f>
        <v>8.1124999996973202E-3</v>
      </c>
      <c r="P26" s="44">
        <f t="shared" si="4"/>
        <v>-1.8110672467084568E-4</v>
      </c>
      <c r="Q26" s="2">
        <f t="shared" si="5"/>
        <v>38356.165000000001</v>
      </c>
      <c r="R26" s="43">
        <f t="shared" si="6"/>
        <v>6.8783912498484863E-5</v>
      </c>
      <c r="S26" s="43">
        <v>0.1</v>
      </c>
      <c r="T26" s="43">
        <f t="shared" si="7"/>
        <v>6.8783912498484864E-6</v>
      </c>
    </row>
    <row r="27" spans="1:23" x14ac:dyDescent="0.2">
      <c r="A27" s="26" t="s">
        <v>41</v>
      </c>
      <c r="B27" s="27" t="s">
        <v>44</v>
      </c>
      <c r="C27" s="26">
        <v>53388.548849999999</v>
      </c>
      <c r="D27" s="26" t="s">
        <v>43</v>
      </c>
      <c r="E27">
        <f t="shared" si="1"/>
        <v>990.49929348156297</v>
      </c>
      <c r="F27">
        <f t="shared" si="2"/>
        <v>990.5</v>
      </c>
      <c r="G27">
        <f t="shared" si="3"/>
        <v>-6.33250005193986E-4</v>
      </c>
      <c r="K27">
        <f t="shared" ref="K27:K44" si="8">+G27</f>
        <v>-6.33250005193986E-4</v>
      </c>
      <c r="P27" s="44">
        <f t="shared" si="4"/>
        <v>-1.9999734229188379E-4</v>
      </c>
      <c r="Q27" s="2">
        <f t="shared" si="5"/>
        <v>38370.048849999999</v>
      </c>
      <c r="R27" s="43">
        <f t="shared" si="6"/>
        <v>1.877078699117626E-7</v>
      </c>
      <c r="S27" s="43">
        <v>1</v>
      </c>
      <c r="T27" s="43">
        <f t="shared" si="7"/>
        <v>1.877078699117626E-7</v>
      </c>
    </row>
    <row r="28" spans="1:23" x14ac:dyDescent="0.2">
      <c r="A28" s="26" t="s">
        <v>41</v>
      </c>
      <c r="B28" s="27" t="s">
        <v>40</v>
      </c>
      <c r="C28" s="26">
        <v>53409.61148</v>
      </c>
      <c r="D28" s="26" t="s">
        <v>43</v>
      </c>
      <c r="E28">
        <f t="shared" si="1"/>
        <v>1013.9989166531367</v>
      </c>
      <c r="F28">
        <f t="shared" si="2"/>
        <v>1014</v>
      </c>
      <c r="G28">
        <f t="shared" si="3"/>
        <v>-9.7100000130012631E-4</v>
      </c>
      <c r="K28">
        <f t="shared" si="8"/>
        <v>-9.7100000130012631E-4</v>
      </c>
      <c r="P28" s="44">
        <f t="shared" si="4"/>
        <v>-2.2810733926901443E-4</v>
      </c>
      <c r="Q28" s="2">
        <f t="shared" si="5"/>
        <v>38391.11148</v>
      </c>
      <c r="R28" s="43">
        <f t="shared" si="6"/>
        <v>5.518895072996718E-7</v>
      </c>
      <c r="S28" s="43">
        <v>1</v>
      </c>
      <c r="T28" s="43">
        <f t="shared" si="7"/>
        <v>5.518895072996718E-7</v>
      </c>
    </row>
    <row r="29" spans="1:23" x14ac:dyDescent="0.2">
      <c r="A29" s="26" t="s">
        <v>41</v>
      </c>
      <c r="B29" s="27" t="s">
        <v>40</v>
      </c>
      <c r="C29" s="26">
        <v>53454.426789999998</v>
      </c>
      <c r="D29" s="26" t="s">
        <v>45</v>
      </c>
      <c r="E29">
        <f t="shared" si="1"/>
        <v>1063.9994577687141</v>
      </c>
      <c r="F29">
        <f t="shared" si="2"/>
        <v>1064</v>
      </c>
      <c r="G29">
        <f t="shared" si="3"/>
        <v>-4.8600000445730984E-4</v>
      </c>
      <c r="K29">
        <f t="shared" si="8"/>
        <v>-4.8600000445730984E-4</v>
      </c>
      <c r="P29" s="44">
        <f t="shared" si="4"/>
        <v>-2.8578816549407779E-4</v>
      </c>
      <c r="Q29" s="2">
        <f t="shared" si="5"/>
        <v>38435.926789999998</v>
      </c>
      <c r="R29" s="43">
        <f t="shared" si="6"/>
        <v>4.0084780461039167E-8</v>
      </c>
      <c r="S29" s="43">
        <v>1</v>
      </c>
      <c r="T29" s="43">
        <f t="shared" si="7"/>
        <v>4.0084780461039167E-8</v>
      </c>
    </row>
    <row r="30" spans="1:23" x14ac:dyDescent="0.2">
      <c r="A30" s="26" t="s">
        <v>41</v>
      </c>
      <c r="B30" s="27" t="s">
        <v>40</v>
      </c>
      <c r="C30" s="26">
        <v>53462.492680000003</v>
      </c>
      <c r="D30" s="26" t="s">
        <v>43</v>
      </c>
      <c r="E30">
        <f t="shared" si="1"/>
        <v>1072.9985891945373</v>
      </c>
      <c r="F30">
        <f t="shared" si="2"/>
        <v>1073</v>
      </c>
      <c r="G30">
        <f t="shared" si="3"/>
        <v>-1.2644999951589853E-3</v>
      </c>
      <c r="K30">
        <f t="shared" si="8"/>
        <v>-1.2644999951589853E-3</v>
      </c>
      <c r="P30" s="44">
        <f t="shared" si="4"/>
        <v>-2.9586328645724795E-4</v>
      </c>
      <c r="Q30" s="2">
        <f t="shared" si="5"/>
        <v>38443.992680000003</v>
      </c>
      <c r="R30" s="43">
        <f t="shared" si="6"/>
        <v>9.3825707344453433E-7</v>
      </c>
      <c r="S30" s="43">
        <v>1</v>
      </c>
      <c r="T30" s="43">
        <f t="shared" si="7"/>
        <v>9.3825707344453433E-7</v>
      </c>
    </row>
    <row r="31" spans="1:23" x14ac:dyDescent="0.2">
      <c r="A31" s="26" t="s">
        <v>41</v>
      </c>
      <c r="B31" s="27" t="s">
        <v>40</v>
      </c>
      <c r="C31" s="26">
        <v>53463.389880000002</v>
      </c>
      <c r="D31" s="26" t="s">
        <v>43</v>
      </c>
      <c r="E31">
        <f t="shared" si="1"/>
        <v>1073.9995972314975</v>
      </c>
      <c r="F31">
        <f t="shared" si="2"/>
        <v>1074</v>
      </c>
      <c r="G31">
        <f t="shared" si="3"/>
        <v>-3.6099999852012843E-4</v>
      </c>
      <c r="K31">
        <f t="shared" si="8"/>
        <v>-3.6099999852012843E-4</v>
      </c>
      <c r="P31" s="44">
        <f t="shared" si="4"/>
        <v>-2.9697695474209453E-4</v>
      </c>
      <c r="Q31" s="2">
        <f t="shared" si="5"/>
        <v>38444.889880000002</v>
      </c>
      <c r="R31" s="43">
        <f t="shared" si="6"/>
        <v>4.0989501346040453E-9</v>
      </c>
      <c r="S31" s="43">
        <v>1</v>
      </c>
      <c r="T31" s="43">
        <f t="shared" si="7"/>
        <v>4.0989501346040453E-9</v>
      </c>
    </row>
    <row r="32" spans="1:23" x14ac:dyDescent="0.2">
      <c r="A32" s="26" t="s">
        <v>41</v>
      </c>
      <c r="B32" s="27" t="s">
        <v>40</v>
      </c>
      <c r="C32" s="26">
        <v>53515.378140000001</v>
      </c>
      <c r="D32" s="26" t="s">
        <v>43</v>
      </c>
      <c r="E32">
        <f t="shared" si="1"/>
        <v>1132.0030146274132</v>
      </c>
      <c r="F32">
        <f t="shared" si="2"/>
        <v>1132</v>
      </c>
      <c r="G32">
        <f t="shared" si="3"/>
        <v>2.701999997952953E-3</v>
      </c>
      <c r="K32">
        <f t="shared" si="8"/>
        <v>2.701999997952953E-3</v>
      </c>
      <c r="P32" s="44">
        <f t="shared" si="4"/>
        <v>-3.5958851416034189E-4</v>
      </c>
      <c r="Q32" s="2">
        <f t="shared" si="5"/>
        <v>38496.878140000001</v>
      </c>
      <c r="R32" s="43">
        <f t="shared" si="6"/>
        <v>9.3733242175040996E-6</v>
      </c>
      <c r="S32" s="43">
        <v>1</v>
      </c>
      <c r="T32" s="43">
        <f t="shared" si="7"/>
        <v>9.3733242175040996E-6</v>
      </c>
    </row>
    <row r="33" spans="1:20" x14ac:dyDescent="0.2">
      <c r="A33" s="26" t="s">
        <v>41</v>
      </c>
      <c r="B33" s="27" t="s">
        <v>40</v>
      </c>
      <c r="C33" s="26">
        <v>53791.435250000002</v>
      </c>
      <c r="D33" s="26" t="s">
        <v>43</v>
      </c>
      <c r="E33">
        <f t="shared" si="1"/>
        <v>1440.0005466940916</v>
      </c>
      <c r="F33">
        <f t="shared" si="2"/>
        <v>1440</v>
      </c>
      <c r="G33">
        <f t="shared" si="3"/>
        <v>4.8999999853549525E-4</v>
      </c>
      <c r="K33">
        <f t="shared" si="8"/>
        <v>4.8999999853549525E-4</v>
      </c>
      <c r="P33" s="44">
        <f t="shared" si="4"/>
        <v>-6.2681248254860137E-4</v>
      </c>
      <c r="Q33" s="2">
        <f t="shared" si="5"/>
        <v>38772.935250000002</v>
      </c>
      <c r="R33" s="43">
        <f t="shared" si="6"/>
        <v>1.2472701179052157E-6</v>
      </c>
      <c r="S33" s="43">
        <v>1</v>
      </c>
      <c r="T33" s="43">
        <f t="shared" si="7"/>
        <v>1.2472701179052157E-6</v>
      </c>
    </row>
    <row r="34" spans="1:20" x14ac:dyDescent="0.2">
      <c r="A34" s="26" t="s">
        <v>41</v>
      </c>
      <c r="B34" s="27" t="s">
        <v>40</v>
      </c>
      <c r="C34" s="26">
        <v>53833.560590000001</v>
      </c>
      <c r="D34" s="26" t="s">
        <v>42</v>
      </c>
      <c r="E34">
        <f t="shared" si="1"/>
        <v>1486.9998822934147</v>
      </c>
      <c r="F34">
        <f t="shared" si="2"/>
        <v>1487</v>
      </c>
      <c r="G34">
        <f t="shared" si="3"/>
        <v>-1.0550000297371298E-4</v>
      </c>
      <c r="K34">
        <f t="shared" si="8"/>
        <v>-1.0550000297371298E-4</v>
      </c>
      <c r="P34" s="44">
        <f t="shared" si="4"/>
        <v>-6.5793021851996681E-4</v>
      </c>
      <c r="Q34" s="2">
        <f t="shared" si="5"/>
        <v>38815.060590000001</v>
      </c>
      <c r="R34" s="43">
        <f t="shared" si="6"/>
        <v>3.0517914304848046E-7</v>
      </c>
      <c r="S34" s="43">
        <v>1</v>
      </c>
      <c r="T34" s="43">
        <f t="shared" si="7"/>
        <v>3.0517914304848046E-7</v>
      </c>
    </row>
    <row r="35" spans="1:20" x14ac:dyDescent="0.2">
      <c r="A35" s="26" t="s">
        <v>41</v>
      </c>
      <c r="B35" s="27" t="s">
        <v>44</v>
      </c>
      <c r="C35" s="26">
        <v>53848.351730000002</v>
      </c>
      <c r="D35" s="26" t="s">
        <v>42</v>
      </c>
      <c r="E35">
        <f t="shared" si="1"/>
        <v>1503.502390113094</v>
      </c>
      <c r="F35">
        <f t="shared" si="2"/>
        <v>1503.5</v>
      </c>
      <c r="G35">
        <f t="shared" si="3"/>
        <v>2.142249999451451E-3</v>
      </c>
      <c r="K35">
        <f t="shared" si="8"/>
        <v>2.142249999451451E-3</v>
      </c>
      <c r="P35" s="44">
        <f t="shared" si="4"/>
        <v>-6.6824792474962915E-4</v>
      </c>
      <c r="Q35" s="2">
        <f t="shared" si="5"/>
        <v>38829.851730000002</v>
      </c>
      <c r="R35" s="43">
        <f t="shared" si="6"/>
        <v>7.89889858193858E-6</v>
      </c>
      <c r="S35" s="43">
        <v>1</v>
      </c>
      <c r="T35" s="43">
        <f t="shared" si="7"/>
        <v>7.89889858193858E-6</v>
      </c>
    </row>
    <row r="36" spans="1:20" x14ac:dyDescent="0.2">
      <c r="A36" s="26" t="s">
        <v>41</v>
      </c>
      <c r="B36" s="27" t="s">
        <v>40</v>
      </c>
      <c r="C36" s="26">
        <v>54171.464090000001</v>
      </c>
      <c r="D36" s="26">
        <v>2.0000000000000001E-4</v>
      </c>
      <c r="E36">
        <f t="shared" si="1"/>
        <v>1863.9995693389405</v>
      </c>
      <c r="F36">
        <f t="shared" si="2"/>
        <v>1864</v>
      </c>
      <c r="G36">
        <f t="shared" si="3"/>
        <v>-3.8599999970756471E-4</v>
      </c>
      <c r="K36">
        <f t="shared" si="8"/>
        <v>-3.8599999970756471E-4</v>
      </c>
      <c r="P36" s="44">
        <f t="shared" si="4"/>
        <v>-8.1498858850005251E-4</v>
      </c>
      <c r="Q36" s="2">
        <f t="shared" si="5"/>
        <v>39152.964090000001</v>
      </c>
      <c r="R36" s="43">
        <f t="shared" si="6"/>
        <v>1.8403120931417019E-7</v>
      </c>
      <c r="S36" s="43">
        <v>1</v>
      </c>
      <c r="T36" s="43">
        <f t="shared" si="7"/>
        <v>1.8403120931417019E-7</v>
      </c>
    </row>
    <row r="37" spans="1:20" x14ac:dyDescent="0.2">
      <c r="A37" s="26" t="s">
        <v>41</v>
      </c>
      <c r="B37" s="27" t="s">
        <v>40</v>
      </c>
      <c r="C37" s="26">
        <v>54171.464189999999</v>
      </c>
      <c r="D37" s="26">
        <v>5.0000000000000001E-4</v>
      </c>
      <c r="E37">
        <f t="shared" si="1"/>
        <v>1863.9996809091604</v>
      </c>
      <c r="F37">
        <f t="shared" si="2"/>
        <v>1864</v>
      </c>
      <c r="G37">
        <f t="shared" si="3"/>
        <v>-2.860000022337772E-4</v>
      </c>
      <c r="K37">
        <f t="shared" si="8"/>
        <v>-2.860000022337772E-4</v>
      </c>
      <c r="P37" s="44">
        <f t="shared" si="4"/>
        <v>-8.1498858850005251E-4</v>
      </c>
      <c r="Q37" s="2">
        <f t="shared" si="5"/>
        <v>39152.964189999999</v>
      </c>
      <c r="R37" s="43">
        <f t="shared" si="6"/>
        <v>2.7982892439999262E-7</v>
      </c>
      <c r="S37" s="43">
        <v>1</v>
      </c>
      <c r="T37" s="43">
        <f t="shared" si="7"/>
        <v>2.7982892439999262E-7</v>
      </c>
    </row>
    <row r="38" spans="1:20" x14ac:dyDescent="0.2">
      <c r="A38" s="26" t="s">
        <v>41</v>
      </c>
      <c r="B38" s="27" t="s">
        <v>40</v>
      </c>
      <c r="C38" s="26">
        <v>54171.464590000003</v>
      </c>
      <c r="D38" s="26">
        <v>2.0000000000000001E-4</v>
      </c>
      <c r="E38">
        <f t="shared" si="1"/>
        <v>1864.0001271900555</v>
      </c>
      <c r="F38">
        <f t="shared" si="2"/>
        <v>1864</v>
      </c>
      <c r="G38">
        <f t="shared" si="3"/>
        <v>1.140000022132881E-4</v>
      </c>
      <c r="K38">
        <f t="shared" si="8"/>
        <v>1.140000022132881E-4</v>
      </c>
      <c r="P38" s="44">
        <f t="shared" si="4"/>
        <v>-8.1498858850005251E-4</v>
      </c>
      <c r="Q38" s="2">
        <f t="shared" si="5"/>
        <v>39152.964590000003</v>
      </c>
      <c r="R38" s="43">
        <f t="shared" si="6"/>
        <v>8.6301980167555862E-7</v>
      </c>
      <c r="S38" s="43">
        <v>1</v>
      </c>
      <c r="T38" s="43">
        <f t="shared" si="7"/>
        <v>8.6301980167555862E-7</v>
      </c>
    </row>
    <row r="39" spans="1:20" x14ac:dyDescent="0.2">
      <c r="A39" s="26" t="s">
        <v>41</v>
      </c>
      <c r="B39" s="27" t="s">
        <v>44</v>
      </c>
      <c r="C39" s="26">
        <v>54202.386039999998</v>
      </c>
      <c r="D39" s="26">
        <v>5.9999999999999995E-4</v>
      </c>
      <c r="E39">
        <f t="shared" si="1"/>
        <v>1898.4992577790899</v>
      </c>
      <c r="F39">
        <f t="shared" si="2"/>
        <v>1898.5</v>
      </c>
      <c r="G39">
        <f t="shared" si="3"/>
        <v>-6.6525000147521496E-4</v>
      </c>
      <c r="K39">
        <f t="shared" si="8"/>
        <v>-6.6525000147521496E-4</v>
      </c>
      <c r="P39" s="44">
        <f t="shared" si="4"/>
        <v>-8.2114195374634628E-4</v>
      </c>
      <c r="Q39" s="2">
        <f t="shared" si="5"/>
        <v>39183.886039999998</v>
      </c>
      <c r="R39" s="43">
        <f t="shared" si="6"/>
        <v>2.4302300782904686E-8</v>
      </c>
      <c r="S39" s="43">
        <v>1</v>
      </c>
      <c r="T39" s="43">
        <f t="shared" si="7"/>
        <v>2.4302300782904686E-8</v>
      </c>
    </row>
    <row r="40" spans="1:20" x14ac:dyDescent="0.2">
      <c r="A40" s="26" t="s">
        <v>41</v>
      </c>
      <c r="B40" s="27" t="s">
        <v>44</v>
      </c>
      <c r="C40" s="26">
        <v>54202.388339999998</v>
      </c>
      <c r="D40" s="26">
        <v>6.9999999999999999E-4</v>
      </c>
      <c r="E40">
        <f t="shared" si="1"/>
        <v>1898.5018238942093</v>
      </c>
      <c r="F40">
        <f t="shared" si="2"/>
        <v>1898.5</v>
      </c>
      <c r="G40">
        <f t="shared" si="3"/>
        <v>1.6347499986295588E-3</v>
      </c>
      <c r="K40">
        <f t="shared" si="8"/>
        <v>1.6347499986295588E-3</v>
      </c>
      <c r="P40" s="44">
        <f t="shared" si="4"/>
        <v>-8.2114195374634628E-4</v>
      </c>
      <c r="Q40" s="2">
        <f t="shared" si="5"/>
        <v>39183.888339999998</v>
      </c>
      <c r="R40" s="43">
        <f t="shared" si="6"/>
        <v>6.0314052817447346E-6</v>
      </c>
      <c r="S40" s="43">
        <v>1</v>
      </c>
      <c r="T40" s="43">
        <f t="shared" si="7"/>
        <v>6.0314052817447346E-6</v>
      </c>
    </row>
    <row r="41" spans="1:20" x14ac:dyDescent="0.2">
      <c r="A41" s="59" t="s">
        <v>136</v>
      </c>
      <c r="B41" s="61" t="s">
        <v>40</v>
      </c>
      <c r="C41" s="60">
        <v>54572.108500000002</v>
      </c>
      <c r="D41" s="60" t="s">
        <v>70</v>
      </c>
      <c r="E41">
        <f t="shared" si="1"/>
        <v>2310.9994293183122</v>
      </c>
      <c r="F41">
        <f t="shared" si="2"/>
        <v>2311</v>
      </c>
      <c r="G41">
        <f t="shared" si="3"/>
        <v>-5.115000021760352E-4</v>
      </c>
      <c r="K41">
        <f t="shared" si="8"/>
        <v>-5.115000021760352E-4</v>
      </c>
      <c r="P41" s="44">
        <f t="shared" si="4"/>
        <v>-7.8796181300575668E-4</v>
      </c>
      <c r="Q41" s="2">
        <f t="shared" si="5"/>
        <v>39553.608500000002</v>
      </c>
      <c r="R41" s="43">
        <f t="shared" si="6"/>
        <v>7.6431132847248709E-8</v>
      </c>
      <c r="S41" s="43">
        <v>1</v>
      </c>
      <c r="T41" s="43">
        <f t="shared" si="7"/>
        <v>7.6431132847248709E-8</v>
      </c>
    </row>
    <row r="42" spans="1:20" x14ac:dyDescent="0.2">
      <c r="A42" s="30" t="s">
        <v>39</v>
      </c>
      <c r="B42" s="29" t="s">
        <v>40</v>
      </c>
      <c r="C42" s="30">
        <v>54884.913200000003</v>
      </c>
      <c r="D42" s="30">
        <v>5.9999999999999995E-4</v>
      </c>
      <c r="E42">
        <f t="shared" si="1"/>
        <v>2659.9963293396786</v>
      </c>
      <c r="F42">
        <f t="shared" si="2"/>
        <v>2660</v>
      </c>
      <c r="G42">
        <f t="shared" si="3"/>
        <v>-3.2900000005611219E-3</v>
      </c>
      <c r="K42">
        <f t="shared" si="8"/>
        <v>-3.2900000005611219E-3</v>
      </c>
      <c r="P42" s="44">
        <f t="shared" si="4"/>
        <v>-6.0602296839235622E-4</v>
      </c>
      <c r="Q42" s="2">
        <f t="shared" si="5"/>
        <v>39866.413200000003</v>
      </c>
      <c r="R42" s="43">
        <f t="shared" si="6"/>
        <v>7.2037327092094553E-6</v>
      </c>
      <c r="S42" s="43">
        <v>1</v>
      </c>
      <c r="T42" s="43">
        <f t="shared" si="7"/>
        <v>7.2037327092094553E-6</v>
      </c>
    </row>
    <row r="43" spans="1:20" x14ac:dyDescent="0.2">
      <c r="A43" s="28" t="s">
        <v>46</v>
      </c>
      <c r="B43" s="29" t="s">
        <v>44</v>
      </c>
      <c r="C43" s="30">
        <v>54937.348400000003</v>
      </c>
      <c r="D43" s="30">
        <v>8.0000000000000004E-4</v>
      </c>
      <c r="E43">
        <f t="shared" si="1"/>
        <v>2718.4983986883817</v>
      </c>
      <c r="F43">
        <f t="shared" si="2"/>
        <v>2718.5</v>
      </c>
      <c r="G43">
        <f t="shared" si="3"/>
        <v>-1.4352500002132729E-3</v>
      </c>
      <c r="I43" s="23"/>
      <c r="K43">
        <f t="shared" si="8"/>
        <v>-1.4352500002132729E-3</v>
      </c>
      <c r="P43" s="44">
        <f t="shared" si="4"/>
        <v>-5.6172437346248705E-4</v>
      </c>
      <c r="Q43" s="2">
        <f t="shared" si="5"/>
        <v>39918.848400000003</v>
      </c>
      <c r="R43" s="43">
        <f t="shared" si="6"/>
        <v>7.630470205903532E-7</v>
      </c>
      <c r="S43" s="43">
        <v>1</v>
      </c>
      <c r="T43" s="43">
        <f t="shared" si="7"/>
        <v>7.630470205903532E-7</v>
      </c>
    </row>
    <row r="44" spans="1:20" x14ac:dyDescent="0.2">
      <c r="A44" s="31" t="s">
        <v>50</v>
      </c>
      <c r="B44" s="32" t="s">
        <v>40</v>
      </c>
      <c r="C44" s="31">
        <v>55654.833700000003</v>
      </c>
      <c r="D44" s="31">
        <v>5.0000000000000001E-4</v>
      </c>
      <c r="E44">
        <f t="shared" si="1"/>
        <v>3518.9983448557496</v>
      </c>
      <c r="F44">
        <f t="shared" si="2"/>
        <v>3519</v>
      </c>
      <c r="G44">
        <f t="shared" si="3"/>
        <v>-1.4834999965387397E-3</v>
      </c>
      <c r="K44">
        <f t="shared" si="8"/>
        <v>-1.4834999965387397E-3</v>
      </c>
      <c r="O44">
        <f t="shared" ref="O44:O55" ca="1" si="9">+C$11+C$12*$F44</f>
        <v>-1.6212659709216072E-4</v>
      </c>
      <c r="P44" s="44">
        <f t="shared" si="4"/>
        <v>4.4255697006153651E-4</v>
      </c>
      <c r="Q44" s="2">
        <f t="shared" si="5"/>
        <v>40636.333700000003</v>
      </c>
      <c r="R44" s="43">
        <f t="shared" si="6"/>
        <v>3.7096954385894574E-6</v>
      </c>
      <c r="S44" s="43">
        <v>1</v>
      </c>
      <c r="T44" s="43">
        <f t="shared" si="7"/>
        <v>3.7096954385894574E-6</v>
      </c>
    </row>
    <row r="45" spans="1:20" x14ac:dyDescent="0.2">
      <c r="A45" s="31" t="s">
        <v>51</v>
      </c>
      <c r="B45" s="32" t="s">
        <v>40</v>
      </c>
      <c r="C45" s="31">
        <v>55667.3825</v>
      </c>
      <c r="D45" s="31">
        <v>1E-3</v>
      </c>
      <c r="E45">
        <f t="shared" si="1"/>
        <v>3532.9990689464903</v>
      </c>
      <c r="F45">
        <f t="shared" si="2"/>
        <v>3533</v>
      </c>
      <c r="G45">
        <f t="shared" si="3"/>
        <v>-8.3450000238372013E-4</v>
      </c>
      <c r="J45">
        <f>+G45</f>
        <v>-8.3450000238372013E-4</v>
      </c>
      <c r="O45">
        <f t="shared" ca="1" si="9"/>
        <v>-1.141577444745915E-4</v>
      </c>
      <c r="P45" s="44">
        <f t="shared" si="4"/>
        <v>4.6672279692983043E-4</v>
      </c>
      <c r="Q45" s="2">
        <f t="shared" si="5"/>
        <v>40648.8825</v>
      </c>
      <c r="R45" s="43">
        <f t="shared" si="6"/>
        <v>1.6931807734533928E-6</v>
      </c>
      <c r="S45" s="43">
        <v>0.8</v>
      </c>
      <c r="T45" s="43">
        <f t="shared" si="7"/>
        <v>1.3545446187627144E-6</v>
      </c>
    </row>
    <row r="46" spans="1:20" x14ac:dyDescent="0.2">
      <c r="A46" s="62" t="s">
        <v>52</v>
      </c>
      <c r="B46" s="63" t="s">
        <v>40</v>
      </c>
      <c r="C46" s="62">
        <v>55973.918100000003</v>
      </c>
      <c r="D46" s="62">
        <v>2.0000000000000001E-4</v>
      </c>
      <c r="E46">
        <f t="shared" si="1"/>
        <v>3875.0015201442839</v>
      </c>
      <c r="F46">
        <f t="shared" si="2"/>
        <v>3875</v>
      </c>
      <c r="G46">
        <f t="shared" si="3"/>
        <v>1.3624999992316589E-3</v>
      </c>
      <c r="K46">
        <f t="shared" ref="K46:K55" si="10">+G46</f>
        <v>1.3624999992316589E-3</v>
      </c>
      <c r="O46">
        <f t="shared" ca="1" si="9"/>
        <v>1.0576527980403136E-3</v>
      </c>
      <c r="P46" s="44">
        <f t="shared" si="4"/>
        <v>1.1275489620227851E-3</v>
      </c>
      <c r="Q46" s="2">
        <f t="shared" si="5"/>
        <v>40955.418100000003</v>
      </c>
      <c r="R46" s="43">
        <f t="shared" si="6"/>
        <v>5.5201989885525572E-8</v>
      </c>
      <c r="S46" s="43">
        <v>1</v>
      </c>
      <c r="T46" s="43">
        <f t="shared" si="7"/>
        <v>5.5201989885525572E-8</v>
      </c>
    </row>
    <row r="47" spans="1:20" x14ac:dyDescent="0.2">
      <c r="A47" s="62" t="s">
        <v>52</v>
      </c>
      <c r="B47" s="63" t="s">
        <v>40</v>
      </c>
      <c r="C47" s="62">
        <v>55982.880400000002</v>
      </c>
      <c r="D47" s="62">
        <v>2.0000000000000001E-4</v>
      </c>
      <c r="E47">
        <f t="shared" si="1"/>
        <v>3885.0007782023026</v>
      </c>
      <c r="F47">
        <f t="shared" si="2"/>
        <v>3885</v>
      </c>
      <c r="G47">
        <f t="shared" si="3"/>
        <v>6.9749999966006726E-4</v>
      </c>
      <c r="K47">
        <f t="shared" si="10"/>
        <v>6.9749999966006726E-4</v>
      </c>
      <c r="O47">
        <f t="shared" ca="1" si="9"/>
        <v>1.0919162641957192E-3</v>
      </c>
      <c r="P47" s="44">
        <f t="shared" si="4"/>
        <v>1.1489093036932563E-3</v>
      </c>
      <c r="Q47" s="2">
        <f t="shared" si="5"/>
        <v>40964.380400000002</v>
      </c>
      <c r="R47" s="43">
        <f t="shared" si="6"/>
        <v>2.0377035976772815E-7</v>
      </c>
      <c r="S47" s="43">
        <v>1</v>
      </c>
      <c r="T47" s="43">
        <f t="shared" si="7"/>
        <v>2.0377035976772815E-7</v>
      </c>
    </row>
    <row r="48" spans="1:20" x14ac:dyDescent="0.2">
      <c r="A48" s="64" t="s">
        <v>53</v>
      </c>
      <c r="B48" s="65"/>
      <c r="C48" s="62">
        <v>56363.805999999997</v>
      </c>
      <c r="D48" s="62">
        <v>1E-3</v>
      </c>
      <c r="E48">
        <f t="shared" si="1"/>
        <v>4310.0003179751293</v>
      </c>
      <c r="F48">
        <f t="shared" si="2"/>
        <v>4310</v>
      </c>
      <c r="G48">
        <f t="shared" si="3"/>
        <v>2.8499999461928383E-4</v>
      </c>
      <c r="K48">
        <f t="shared" si="10"/>
        <v>2.8499999461928383E-4</v>
      </c>
      <c r="O48">
        <f t="shared" ca="1" si="9"/>
        <v>2.5481135758004987E-3</v>
      </c>
      <c r="P48" s="44">
        <f t="shared" si="4"/>
        <v>2.1637590537626102E-3</v>
      </c>
      <c r="Q48" s="2">
        <f t="shared" si="5"/>
        <v>41345.305999999997</v>
      </c>
      <c r="R48" s="43">
        <f t="shared" si="6"/>
        <v>3.5297356023131168E-6</v>
      </c>
      <c r="S48" s="43">
        <v>0.8</v>
      </c>
      <c r="T48" s="43">
        <f t="shared" si="7"/>
        <v>2.8237884818504935E-6</v>
      </c>
    </row>
    <row r="49" spans="1:20" x14ac:dyDescent="0.2">
      <c r="A49" s="66" t="s">
        <v>59</v>
      </c>
      <c r="B49" s="67" t="s">
        <v>40</v>
      </c>
      <c r="C49" s="68">
        <v>57021.692000000003</v>
      </c>
      <c r="D49" s="68">
        <v>8.9999999999999993E-3</v>
      </c>
      <c r="E49">
        <f t="shared" si="1"/>
        <v>5044.0051924781601</v>
      </c>
      <c r="F49">
        <f t="shared" si="2"/>
        <v>5044</v>
      </c>
      <c r="G49">
        <f t="shared" si="3"/>
        <v>4.6540000039385632E-3</v>
      </c>
      <c r="K49">
        <f t="shared" si="10"/>
        <v>4.6540000039385632E-3</v>
      </c>
      <c r="O49">
        <f t="shared" ca="1" si="9"/>
        <v>5.0630519916073403E-3</v>
      </c>
      <c r="P49" s="44">
        <f t="shared" si="4"/>
        <v>4.4089890106767567E-3</v>
      </c>
      <c r="Q49" s="2">
        <f t="shared" si="5"/>
        <v>42003.192000000003</v>
      </c>
      <c r="R49" s="43">
        <f t="shared" si="6"/>
        <v>6.0030386819136989E-8</v>
      </c>
      <c r="S49" s="43">
        <v>1</v>
      </c>
      <c r="T49" s="43">
        <f t="shared" si="7"/>
        <v>6.0030386819136989E-8</v>
      </c>
    </row>
    <row r="50" spans="1:20" x14ac:dyDescent="0.2">
      <c r="A50" s="64" t="s">
        <v>172</v>
      </c>
      <c r="B50" s="65"/>
      <c r="C50" s="62">
        <v>57084.881300000001</v>
      </c>
      <c r="D50" s="62">
        <v>2.9999999999999997E-4</v>
      </c>
      <c r="E50">
        <f t="shared" si="1"/>
        <v>5114.5056351330159</v>
      </c>
      <c r="F50">
        <f t="shared" si="2"/>
        <v>5114.5</v>
      </c>
      <c r="G50">
        <f t="shared" si="3"/>
        <v>5.0507499981904402E-3</v>
      </c>
      <c r="K50">
        <f t="shared" si="10"/>
        <v>5.0507499981904402E-3</v>
      </c>
      <c r="O50">
        <f t="shared" ca="1" si="9"/>
        <v>5.3046094280029578E-3</v>
      </c>
      <c r="P50" s="44">
        <f t="shared" si="4"/>
        <v>4.6574782255868821E-3</v>
      </c>
      <c r="Q50" s="2">
        <f t="shared" si="5"/>
        <v>42066.381300000001</v>
      </c>
      <c r="R50" s="43">
        <f t="shared" si="6"/>
        <v>1.5466268712674473E-7</v>
      </c>
      <c r="S50" s="43">
        <v>1</v>
      </c>
      <c r="T50" s="43">
        <f t="shared" si="7"/>
        <v>1.5466268712674473E-7</v>
      </c>
    </row>
    <row r="51" spans="1:20" x14ac:dyDescent="0.2">
      <c r="A51" s="72" t="s">
        <v>173</v>
      </c>
      <c r="B51" s="73" t="s">
        <v>40</v>
      </c>
      <c r="C51" s="74">
        <v>57126.559099999999</v>
      </c>
      <c r="D51" s="74">
        <v>1E-4</v>
      </c>
      <c r="E51">
        <f t="shared" si="1"/>
        <v>5161.0056493582169</v>
      </c>
      <c r="F51">
        <f t="shared" si="2"/>
        <v>5161</v>
      </c>
      <c r="G51">
        <f t="shared" si="3"/>
        <v>5.0634999934118241E-3</v>
      </c>
      <c r="K51">
        <f t="shared" si="10"/>
        <v>5.0634999934118241E-3</v>
      </c>
      <c r="O51">
        <f t="shared" ca="1" si="9"/>
        <v>5.4639345456255969E-3</v>
      </c>
      <c r="P51" s="44">
        <f t="shared" si="4"/>
        <v>4.8245251991888699E-3</v>
      </c>
      <c r="Q51" s="2">
        <f t="shared" si="5"/>
        <v>42108.059099999999</v>
      </c>
      <c r="R51" s="43">
        <f t="shared" si="6"/>
        <v>5.7108952273903307E-8</v>
      </c>
      <c r="S51" s="43">
        <v>1</v>
      </c>
      <c r="T51" s="43">
        <f t="shared" si="7"/>
        <v>5.7108952273903307E-8</v>
      </c>
    </row>
    <row r="52" spans="1:20" x14ac:dyDescent="0.2">
      <c r="A52" s="69" t="s">
        <v>2</v>
      </c>
      <c r="B52" s="70" t="s">
        <v>40</v>
      </c>
      <c r="C52" s="71">
        <v>57464.465700000001</v>
      </c>
      <c r="D52" s="71">
        <v>2.2000000000000001E-3</v>
      </c>
      <c r="E52">
        <f t="shared" si="1"/>
        <v>5538.0087950806446</v>
      </c>
      <c r="F52">
        <f t="shared" si="2"/>
        <v>5538</v>
      </c>
      <c r="G52">
        <f t="shared" si="3"/>
        <v>7.8829999984009191E-3</v>
      </c>
      <c r="K52">
        <f t="shared" si="10"/>
        <v>7.8829999984009191E-3</v>
      </c>
      <c r="O52">
        <f t="shared" ca="1" si="9"/>
        <v>6.7556672196844234E-3</v>
      </c>
      <c r="P52" s="44">
        <f t="shared" si="4"/>
        <v>6.2712994914975746E-3</v>
      </c>
      <c r="Q52" s="2">
        <f t="shared" si="5"/>
        <v>42445.965700000001</v>
      </c>
      <c r="R52" s="43">
        <f t="shared" si="6"/>
        <v>2.5975785239524979E-6</v>
      </c>
      <c r="S52" s="43">
        <v>1</v>
      </c>
      <c r="T52" s="43">
        <f t="shared" si="7"/>
        <v>2.5975785239524979E-6</v>
      </c>
    </row>
    <row r="53" spans="1:20" x14ac:dyDescent="0.2">
      <c r="A53" s="75" t="s">
        <v>174</v>
      </c>
      <c r="B53" s="76" t="s">
        <v>40</v>
      </c>
      <c r="C53" s="77">
        <v>57830.1564</v>
      </c>
      <c r="D53" s="78" t="s">
        <v>175</v>
      </c>
      <c r="E53">
        <f t="shared" si="1"/>
        <v>5946.0107230140893</v>
      </c>
      <c r="F53">
        <f t="shared" si="2"/>
        <v>5946</v>
      </c>
      <c r="G53">
        <f t="shared" si="3"/>
        <v>9.6109999940381385E-3</v>
      </c>
      <c r="K53">
        <f t="shared" si="10"/>
        <v>9.6109999940381385E-3</v>
      </c>
      <c r="O53">
        <f t="shared" ca="1" si="9"/>
        <v>8.1536166388250127E-3</v>
      </c>
      <c r="P53" s="44">
        <f t="shared" si="4"/>
        <v>8.0224686163647887E-3</v>
      </c>
      <c r="Q53" s="2">
        <f t="shared" si="5"/>
        <v>42811.6564</v>
      </c>
      <c r="R53" s="43">
        <f t="shared" si="6"/>
        <v>2.523431937852791E-6</v>
      </c>
      <c r="S53" s="43">
        <v>1</v>
      </c>
      <c r="T53" s="43">
        <f t="shared" si="7"/>
        <v>2.523431937852791E-6</v>
      </c>
    </row>
    <row r="54" spans="1:20" x14ac:dyDescent="0.2">
      <c r="A54" s="79" t="s">
        <v>1</v>
      </c>
      <c r="B54" s="80" t="s">
        <v>40</v>
      </c>
      <c r="C54" s="80">
        <v>57836.429799999998</v>
      </c>
      <c r="D54" s="80">
        <v>2E-3</v>
      </c>
      <c r="E54">
        <f t="shared" si="1"/>
        <v>5953.0099693572347</v>
      </c>
      <c r="F54">
        <f t="shared" si="2"/>
        <v>5953</v>
      </c>
      <c r="G54">
        <f t="shared" si="3"/>
        <v>8.9354999945499003E-3</v>
      </c>
      <c r="K54">
        <f t="shared" si="10"/>
        <v>8.9354999945499003E-3</v>
      </c>
      <c r="O54">
        <f t="shared" ca="1" si="9"/>
        <v>8.1776010651337973E-3</v>
      </c>
      <c r="P54" s="44">
        <f t="shared" si="4"/>
        <v>8.0541950634690426E-3</v>
      </c>
      <c r="Q54" s="2">
        <f t="shared" si="5"/>
        <v>42817.929799999998</v>
      </c>
      <c r="R54" s="43">
        <f t="shared" si="6"/>
        <v>7.7669838154743524E-7</v>
      </c>
      <c r="S54" s="43">
        <v>0.4</v>
      </c>
      <c r="T54" s="43">
        <f t="shared" si="7"/>
        <v>3.106793526189741E-7</v>
      </c>
    </row>
    <row r="55" spans="1:20" x14ac:dyDescent="0.2">
      <c r="A55" s="79" t="s">
        <v>0</v>
      </c>
      <c r="B55" s="81" t="s">
        <v>40</v>
      </c>
      <c r="C55" s="79">
        <v>58203.016100000124</v>
      </c>
      <c r="D55" s="79" t="s">
        <v>14</v>
      </c>
      <c r="E55">
        <f t="shared" si="1"/>
        <v>6362.0111202042208</v>
      </c>
      <c r="F55">
        <f t="shared" si="2"/>
        <v>6362</v>
      </c>
      <c r="G55">
        <f t="shared" si="3"/>
        <v>9.9670001218328252E-3</v>
      </c>
      <c r="K55">
        <f t="shared" si="10"/>
        <v>9.9670001218328252E-3</v>
      </c>
      <c r="O55">
        <f t="shared" ca="1" si="9"/>
        <v>9.5789768308899258E-3</v>
      </c>
      <c r="P55" s="44">
        <f t="shared" si="4"/>
        <v>1.0006432613662783E-2</v>
      </c>
      <c r="Q55" s="2">
        <f t="shared" si="5"/>
        <v>43184.516100000124</v>
      </c>
      <c r="R55" s="43">
        <f t="shared" si="6"/>
        <v>1.5549214119196785E-9</v>
      </c>
      <c r="S55" s="43">
        <v>1</v>
      </c>
      <c r="T55" s="43">
        <f t="shared" si="7"/>
        <v>1.5549214119196785E-9</v>
      </c>
    </row>
    <row r="56" spans="1:20" x14ac:dyDescent="0.2">
      <c r="A56" s="82" t="s">
        <v>176</v>
      </c>
      <c r="B56" s="83" t="s">
        <v>44</v>
      </c>
      <c r="C56" s="84">
        <v>57840.464819999877</v>
      </c>
      <c r="D56" s="84">
        <v>2.9999999999999997E-4</v>
      </c>
      <c r="E56">
        <f>+(C56-C$7)/C$8</f>
        <v>5957.5118501521265</v>
      </c>
      <c r="F56">
        <f t="shared" si="2"/>
        <v>5957.5</v>
      </c>
      <c r="G56">
        <f>+C56-(C$7+F56*C$8)</f>
        <v>1.0621249879477546E-2</v>
      </c>
      <c r="K56">
        <f>+G56</f>
        <v>1.0621249879477546E-2</v>
      </c>
      <c r="O56">
        <f ca="1">+C$11+C$12*$F56</f>
        <v>8.1930196249037288E-3</v>
      </c>
      <c r="P56" s="44">
        <f>+D$11+D$12*F56+D$13*F56^2</f>
        <v>8.0746205977872323E-3</v>
      </c>
      <c r="Q56" s="2">
        <f>+C56-15018.5</f>
        <v>42821.964819999877</v>
      </c>
      <c r="R56" s="43">
        <f>+(P56-G56)^2</f>
        <v>6.4853206983625215E-6</v>
      </c>
      <c r="S56" s="43">
        <v>1</v>
      </c>
      <c r="T56" s="43">
        <f>+S56*R56</f>
        <v>6.4853206983625215E-6</v>
      </c>
    </row>
    <row r="57" spans="1:20" x14ac:dyDescent="0.2">
      <c r="A57" s="85" t="s">
        <v>177</v>
      </c>
      <c r="B57" s="86" t="s">
        <v>40</v>
      </c>
      <c r="C57" s="87">
        <v>59304.566700000003</v>
      </c>
      <c r="D57" s="85">
        <v>5.0000000000000001E-4</v>
      </c>
      <c r="E57">
        <f t="shared" ref="E57:E58" si="11">+(C57-C$7)/C$8</f>
        <v>7591.0135764225361</v>
      </c>
      <c r="F57">
        <f t="shared" ref="F57:F58" si="12">ROUND(2*E57,0)/2</f>
        <v>7591</v>
      </c>
      <c r="G57">
        <f t="shared" ref="G57:G58" si="13">+C57-(C$7+F57*C$8)</f>
        <v>1.2168499997642357E-2</v>
      </c>
      <c r="K57">
        <f t="shared" ref="K57:K58" si="14">+G57</f>
        <v>1.2168499997642357E-2</v>
      </c>
      <c r="O57">
        <f t="shared" ref="O57:O58" ca="1" si="15">+C$11+C$12*$F57</f>
        <v>1.3789956821389393E-2</v>
      </c>
      <c r="P57" s="44">
        <f t="shared" ref="P57:P58" si="16">+D$11+D$12*F57+D$13*F57^2</f>
        <v>1.7038197181972269E-2</v>
      </c>
      <c r="Q57" s="2">
        <f t="shared" ref="Q57:Q58" si="17">+C57-15018.5</f>
        <v>44286.066700000003</v>
      </c>
      <c r="R57" s="43">
        <f t="shared" ref="R57:R58" si="18">+(P57-G57)^2</f>
        <v>2.3713950667070671E-5</v>
      </c>
      <c r="S57" s="43">
        <v>1</v>
      </c>
      <c r="T57" s="43">
        <f t="shared" ref="T57:T58" si="19">+S57*R57</f>
        <v>2.3713950667070671E-5</v>
      </c>
    </row>
    <row r="58" spans="1:20" x14ac:dyDescent="0.2">
      <c r="A58" s="85" t="s">
        <v>177</v>
      </c>
      <c r="B58" s="86" t="s">
        <v>40</v>
      </c>
      <c r="C58" s="87">
        <v>59305.463499999998</v>
      </c>
      <c r="D58" s="85">
        <v>1.8E-3</v>
      </c>
      <c r="E58">
        <f t="shared" si="11"/>
        <v>7592.0141381786007</v>
      </c>
      <c r="F58">
        <f t="shared" si="12"/>
        <v>7592</v>
      </c>
      <c r="G58">
        <f t="shared" si="13"/>
        <v>1.2671999997110106E-2</v>
      </c>
      <c r="K58">
        <f t="shared" si="14"/>
        <v>1.2671999997110106E-2</v>
      </c>
      <c r="O58">
        <f t="shared" ca="1" si="15"/>
        <v>1.3793383168004932E-2</v>
      </c>
      <c r="P58" s="44">
        <f t="shared" si="16"/>
        <v>1.7044630836182142E-2</v>
      </c>
      <c r="Q58" s="2">
        <f t="shared" si="17"/>
        <v>44286.963499999998</v>
      </c>
      <c r="R58" s="43">
        <f t="shared" si="18"/>
        <v>1.9119900454803821E-5</v>
      </c>
      <c r="S58" s="43">
        <v>1</v>
      </c>
      <c r="T58" s="43">
        <f t="shared" si="19"/>
        <v>1.9119900454803821E-5</v>
      </c>
    </row>
    <row r="59" spans="1:20" x14ac:dyDescent="0.2">
      <c r="B59" s="3"/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56:D56" name="Range1"/>
  </protectedRanges>
  <phoneticPr fontId="8" type="noConversion"/>
  <hyperlinks>
    <hyperlink ref="H1378" r:id="rId1" display="http://vsolj.cetus-net.org/bulletin.html"/>
    <hyperlink ref="H64837" r:id="rId2" display="http://vsolj.cetus-net.org/bulletin.html"/>
    <hyperlink ref="H64830" r:id="rId3" display="https://www.aavso.org/ejaavso"/>
    <hyperlink ref="AP981" r:id="rId4" display="http://cdsbib.u-strasbg.fr/cgi-bin/cdsbib?1990RMxAA..21..381G"/>
    <hyperlink ref="AP985" r:id="rId5" display="http://cdsbib.u-strasbg.fr/cgi-bin/cdsbib?1990RMxAA..21..381G"/>
    <hyperlink ref="AP984" r:id="rId6" display="http://cdsbib.u-strasbg.fr/cgi-bin/cdsbib?1990RMxAA..21..381G"/>
    <hyperlink ref="AP965" r:id="rId7" display="http://cdsbib.u-strasbg.fr/cgi-bin/cdsbib?1990RMxAA..21..381G"/>
    <hyperlink ref="I64837" r:id="rId8" display="http://vsolj.cetus-net.org/bulletin.html"/>
    <hyperlink ref="AQ1121" r:id="rId9" display="http://cdsbib.u-strasbg.fr/cgi-bin/cdsbib?1990RMxAA..21..381G"/>
    <hyperlink ref="AQ55887" r:id="rId10" display="http://cdsbib.u-strasbg.fr/cgi-bin/cdsbib?1990RMxAA..21..381G"/>
    <hyperlink ref="AQ1122" r:id="rId11" display="http://cdsbib.u-strasbg.fr/cgi-bin/cdsbib?1990RMxAA..21..381G"/>
    <hyperlink ref="H64834" r:id="rId12" display="https://www.aavso.org/ejaavso"/>
    <hyperlink ref="H2007" r:id="rId13" display="http://vsolj.cetus-net.org/bulletin.html"/>
    <hyperlink ref="AP3251" r:id="rId14" display="http://cdsbib.u-strasbg.fr/cgi-bin/cdsbib?1990RMxAA..21..381G"/>
    <hyperlink ref="AP3254" r:id="rId15" display="http://cdsbib.u-strasbg.fr/cgi-bin/cdsbib?1990RMxAA..21..381G"/>
    <hyperlink ref="AP3252" r:id="rId16" display="http://cdsbib.u-strasbg.fr/cgi-bin/cdsbib?1990RMxAA..21..381G"/>
    <hyperlink ref="AP3236" r:id="rId17" display="http://cdsbib.u-strasbg.fr/cgi-bin/cdsbib?1990RMxAA..21..381G"/>
    <hyperlink ref="I2007" r:id="rId18" display="http://vsolj.cetus-net.org/bulletin.html"/>
    <hyperlink ref="AQ3465" r:id="rId19" display="http://cdsbib.u-strasbg.fr/cgi-bin/cdsbib?1990RMxAA..21..381G"/>
    <hyperlink ref="AQ166" r:id="rId20" display="http://cdsbib.u-strasbg.fr/cgi-bin/cdsbib?1990RMxAA..21..381G"/>
    <hyperlink ref="AQ3469" r:id="rId21" display="http://cdsbib.u-strasbg.fr/cgi-bin/cdsbib?1990RMxAA..21..381G"/>
    <hyperlink ref="H64513" r:id="rId22" display="http://vsolj.cetus-net.org/bulletin.html"/>
    <hyperlink ref="H64506" r:id="rId23" display="https://www.aavso.org/ejaavso"/>
    <hyperlink ref="I64513" r:id="rId24" display="http://vsolj.cetus-net.org/bulletin.html"/>
    <hyperlink ref="AQ58164" r:id="rId25" display="http://cdsbib.u-strasbg.fr/cgi-bin/cdsbib?1990RMxAA..21..381G"/>
    <hyperlink ref="H64510" r:id="rId26" display="https://www.aavso.org/ejaavso"/>
    <hyperlink ref="AP5528" r:id="rId27" display="http://cdsbib.u-strasbg.fr/cgi-bin/cdsbib?1990RMxAA..21..381G"/>
    <hyperlink ref="AP5531" r:id="rId28" display="http://cdsbib.u-strasbg.fr/cgi-bin/cdsbib?1990RMxAA..21..381G"/>
    <hyperlink ref="AP5529" r:id="rId29" display="http://cdsbib.u-strasbg.fr/cgi-bin/cdsbib?1990RMxAA..21..381G"/>
    <hyperlink ref="AP5513" r:id="rId30" display="http://cdsbib.u-strasbg.fr/cgi-bin/cdsbib?1990RMxAA..21..381G"/>
    <hyperlink ref="AQ5742" r:id="rId31" display="http://cdsbib.u-strasbg.fr/cgi-bin/cdsbib?1990RMxAA..21..381G"/>
    <hyperlink ref="AQ5746" r:id="rId32" display="http://cdsbib.u-strasbg.fr/cgi-bin/cdsbib?1990RMxAA..21..381G"/>
    <hyperlink ref="AQ65426" r:id="rId33" display="http://cdsbib.u-strasbg.fr/cgi-bin/cdsbib?1990RMxAA..21..381G"/>
    <hyperlink ref="I2634" r:id="rId34" display="http://vsolj.cetus-net.org/bulletin.html"/>
    <hyperlink ref="H2634" r:id="rId35" display="http://vsolj.cetus-net.org/bulletin.html"/>
    <hyperlink ref="AQ551" r:id="rId36" display="http://cdsbib.u-strasbg.fr/cgi-bin/cdsbib?1990RMxAA..21..381G"/>
    <hyperlink ref="AQ550" r:id="rId37" display="http://cdsbib.u-strasbg.fr/cgi-bin/cdsbib?1990RMxAA..21..381G"/>
    <hyperlink ref="AP3804" r:id="rId38" display="http://cdsbib.u-strasbg.fr/cgi-bin/cdsbib?1990RMxAA..21..381G"/>
    <hyperlink ref="AP3822" r:id="rId39" display="http://cdsbib.u-strasbg.fr/cgi-bin/cdsbib?1990RMxAA..21..381G"/>
    <hyperlink ref="AP3823" r:id="rId40" display="http://cdsbib.u-strasbg.fr/cgi-bin/cdsbib?1990RMxAA..21..381G"/>
    <hyperlink ref="AP3819" r:id="rId41" display="http://cdsbib.u-strasbg.fr/cgi-bin/cdsbib?1990RMxAA..21..381G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workbookViewId="0">
      <selection activeCell="A21" sqref="A21:D3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6" t="s">
        <v>60</v>
      </c>
      <c r="I1" s="47" t="s">
        <v>61</v>
      </c>
      <c r="J1" s="48" t="s">
        <v>62</v>
      </c>
    </row>
    <row r="2" spans="1:16" x14ac:dyDescent="0.2">
      <c r="I2" s="49" t="s">
        <v>63</v>
      </c>
      <c r="J2" s="50" t="s">
        <v>64</v>
      </c>
    </row>
    <row r="3" spans="1:16" x14ac:dyDescent="0.2">
      <c r="A3" s="51" t="s">
        <v>65</v>
      </c>
      <c r="I3" s="49" t="s">
        <v>66</v>
      </c>
      <c r="J3" s="50" t="s">
        <v>67</v>
      </c>
    </row>
    <row r="4" spans="1:16" x14ac:dyDescent="0.2">
      <c r="I4" s="49" t="s">
        <v>68</v>
      </c>
      <c r="J4" s="50" t="s">
        <v>67</v>
      </c>
    </row>
    <row r="5" spans="1:16" ht="13.5" thickBot="1" x14ac:dyDescent="0.25">
      <c r="I5" s="52" t="s">
        <v>69</v>
      </c>
      <c r="J5" s="53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OEJV 0074 </v>
      </c>
      <c r="B11" s="3" t="str">
        <f t="shared" ref="B11:B38" si="1">IF(H11=INT(H11),"I","II")</f>
        <v>I</v>
      </c>
      <c r="C11" s="10">
        <f t="shared" ref="C11:C38" si="2">1*G11</f>
        <v>53108.455600000001</v>
      </c>
      <c r="D11" s="12" t="str">
        <f t="shared" ref="D11:D38" si="3">VLOOKUP(F11,I$1:J$5,2,FALSE)</f>
        <v>vis</v>
      </c>
      <c r="E11" s="54">
        <f>VLOOKUP(C11,Active!C$21:E$956,3,FALSE)</f>
        <v>677.99863103336861</v>
      </c>
      <c r="F11" s="3" t="s">
        <v>69</v>
      </c>
      <c r="G11" s="12" t="str">
        <f t="shared" ref="G11:G38" si="4">MID(I11,3,LEN(I11)-3)</f>
        <v>53108.4556</v>
      </c>
      <c r="H11" s="10">
        <f t="shared" ref="H11:H38" si="5">1*K11</f>
        <v>678</v>
      </c>
      <c r="I11" s="55" t="s">
        <v>71</v>
      </c>
      <c r="J11" s="56" t="s">
        <v>72</v>
      </c>
      <c r="K11" s="55">
        <v>678</v>
      </c>
      <c r="L11" s="55" t="s">
        <v>73</v>
      </c>
      <c r="M11" s="56" t="s">
        <v>74</v>
      </c>
      <c r="N11" s="56" t="s">
        <v>75</v>
      </c>
      <c r="O11" s="57" t="s">
        <v>76</v>
      </c>
      <c r="P11" s="58" t="s">
        <v>77</v>
      </c>
    </row>
    <row r="12" spans="1:16" ht="12.75" customHeight="1" thickBot="1" x14ac:dyDescent="0.25">
      <c r="A12" s="10" t="str">
        <f t="shared" si="0"/>
        <v>OEJV 0003 </v>
      </c>
      <c r="B12" s="3" t="str">
        <f t="shared" si="1"/>
        <v>I</v>
      </c>
      <c r="C12" s="10">
        <f t="shared" si="2"/>
        <v>53374.665000000001</v>
      </c>
      <c r="D12" s="12" t="str">
        <f t="shared" si="3"/>
        <v>vis</v>
      </c>
      <c r="E12" s="54">
        <f>VLOOKUP(C12,Active!C$21:E$956,3,FALSE)</f>
        <v>975.00905113430588</v>
      </c>
      <c r="F12" s="3" t="s">
        <v>69</v>
      </c>
      <c r="G12" s="12" t="str">
        <f t="shared" si="4"/>
        <v>53374.665</v>
      </c>
      <c r="H12" s="10">
        <f t="shared" si="5"/>
        <v>975</v>
      </c>
      <c r="I12" s="55" t="s">
        <v>87</v>
      </c>
      <c r="J12" s="56" t="s">
        <v>88</v>
      </c>
      <c r="K12" s="55">
        <v>975</v>
      </c>
      <c r="L12" s="55" t="s">
        <v>89</v>
      </c>
      <c r="M12" s="56" t="s">
        <v>90</v>
      </c>
      <c r="N12" s="56"/>
      <c r="O12" s="57" t="s">
        <v>91</v>
      </c>
      <c r="P12" s="58" t="s">
        <v>92</v>
      </c>
    </row>
    <row r="13" spans="1:16" ht="12.75" customHeight="1" thickBot="1" x14ac:dyDescent="0.25">
      <c r="A13" s="10" t="str">
        <f t="shared" si="0"/>
        <v>IBVS 5894 </v>
      </c>
      <c r="B13" s="3" t="str">
        <f t="shared" si="1"/>
        <v>I</v>
      </c>
      <c r="C13" s="10">
        <f t="shared" si="2"/>
        <v>54884.913200000003</v>
      </c>
      <c r="D13" s="12" t="str">
        <f t="shared" si="3"/>
        <v>vis</v>
      </c>
      <c r="E13" s="54">
        <f>VLOOKUP(C13,Active!C$21:E$956,3,FALSE)</f>
        <v>2659.9963293396786</v>
      </c>
      <c r="F13" s="3" t="s">
        <v>69</v>
      </c>
      <c r="G13" s="12" t="str">
        <f t="shared" si="4"/>
        <v>54884.9132</v>
      </c>
      <c r="H13" s="10">
        <f t="shared" si="5"/>
        <v>2660</v>
      </c>
      <c r="I13" s="55" t="s">
        <v>137</v>
      </c>
      <c r="J13" s="56" t="s">
        <v>138</v>
      </c>
      <c r="K13" s="55">
        <v>2660</v>
      </c>
      <c r="L13" s="55" t="s">
        <v>139</v>
      </c>
      <c r="M13" s="56" t="s">
        <v>74</v>
      </c>
      <c r="N13" s="56" t="s">
        <v>69</v>
      </c>
      <c r="O13" s="57" t="s">
        <v>140</v>
      </c>
      <c r="P13" s="58" t="s">
        <v>141</v>
      </c>
    </row>
    <row r="14" spans="1:16" ht="12.75" customHeight="1" thickBot="1" x14ac:dyDescent="0.25">
      <c r="A14" s="10" t="str">
        <f t="shared" si="0"/>
        <v>OEJV 0107 </v>
      </c>
      <c r="B14" s="3" t="str">
        <f t="shared" si="1"/>
        <v>II</v>
      </c>
      <c r="C14" s="10">
        <f t="shared" si="2"/>
        <v>54937.348400000003</v>
      </c>
      <c r="D14" s="12" t="str">
        <f t="shared" si="3"/>
        <v>vis</v>
      </c>
      <c r="E14" s="54">
        <f>VLOOKUP(C14,Active!C$21:E$956,3,FALSE)</f>
        <v>2718.4983986883817</v>
      </c>
      <c r="F14" s="3" t="s">
        <v>69</v>
      </c>
      <c r="G14" s="12" t="str">
        <f t="shared" si="4"/>
        <v>54937.3484</v>
      </c>
      <c r="H14" s="10">
        <f t="shared" si="5"/>
        <v>2718.5</v>
      </c>
      <c r="I14" s="55" t="s">
        <v>142</v>
      </c>
      <c r="J14" s="56" t="s">
        <v>143</v>
      </c>
      <c r="K14" s="55">
        <v>2718.5</v>
      </c>
      <c r="L14" s="55" t="s">
        <v>86</v>
      </c>
      <c r="M14" s="56" t="s">
        <v>74</v>
      </c>
      <c r="N14" s="56" t="s">
        <v>75</v>
      </c>
      <c r="O14" s="57" t="s">
        <v>144</v>
      </c>
      <c r="P14" s="58" t="s">
        <v>145</v>
      </c>
    </row>
    <row r="15" spans="1:16" ht="12.75" customHeight="1" thickBot="1" x14ac:dyDescent="0.25">
      <c r="A15" s="10" t="str">
        <f t="shared" si="0"/>
        <v>IBVS 5992 </v>
      </c>
      <c r="B15" s="3" t="str">
        <f t="shared" si="1"/>
        <v>I</v>
      </c>
      <c r="C15" s="10">
        <f t="shared" si="2"/>
        <v>55654.833700000003</v>
      </c>
      <c r="D15" s="12" t="str">
        <f t="shared" si="3"/>
        <v>vis</v>
      </c>
      <c r="E15" s="54">
        <f>VLOOKUP(C15,Active!C$21:E$956,3,FALSE)</f>
        <v>3518.9983448557496</v>
      </c>
      <c r="F15" s="3" t="s">
        <v>69</v>
      </c>
      <c r="G15" s="12" t="str">
        <f t="shared" si="4"/>
        <v>55654.8337</v>
      </c>
      <c r="H15" s="10">
        <f t="shared" si="5"/>
        <v>3519</v>
      </c>
      <c r="I15" s="55" t="s">
        <v>146</v>
      </c>
      <c r="J15" s="56" t="s">
        <v>147</v>
      </c>
      <c r="K15" s="55">
        <v>3519</v>
      </c>
      <c r="L15" s="55" t="s">
        <v>148</v>
      </c>
      <c r="M15" s="56" t="s">
        <v>74</v>
      </c>
      <c r="N15" s="56" t="s">
        <v>69</v>
      </c>
      <c r="O15" s="57" t="s">
        <v>140</v>
      </c>
      <c r="P15" s="58" t="s">
        <v>149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55667.3825</v>
      </c>
      <c r="D16" s="12" t="str">
        <f t="shared" si="3"/>
        <v>vis</v>
      </c>
      <c r="E16" s="54">
        <f>VLOOKUP(C16,Active!C$21:E$956,3,FALSE)</f>
        <v>3532.9990689464903</v>
      </c>
      <c r="F16" s="3" t="s">
        <v>69</v>
      </c>
      <c r="G16" s="12" t="str">
        <f t="shared" si="4"/>
        <v>55667.3825</v>
      </c>
      <c r="H16" s="10">
        <f t="shared" si="5"/>
        <v>3533</v>
      </c>
      <c r="I16" s="55" t="s">
        <v>150</v>
      </c>
      <c r="J16" s="56" t="s">
        <v>151</v>
      </c>
      <c r="K16" s="55">
        <v>3533</v>
      </c>
      <c r="L16" s="55" t="s">
        <v>107</v>
      </c>
      <c r="M16" s="56" t="s">
        <v>74</v>
      </c>
      <c r="N16" s="56" t="s">
        <v>152</v>
      </c>
      <c r="O16" s="57" t="s">
        <v>153</v>
      </c>
      <c r="P16" s="58" t="s">
        <v>154</v>
      </c>
    </row>
    <row r="17" spans="1:16" ht="12.75" customHeight="1" thickBot="1" x14ac:dyDescent="0.25">
      <c r="A17" s="10" t="str">
        <f t="shared" si="0"/>
        <v>IBVS 6029 </v>
      </c>
      <c r="B17" s="3" t="str">
        <f t="shared" si="1"/>
        <v>I</v>
      </c>
      <c r="C17" s="10">
        <f t="shared" si="2"/>
        <v>55973.918100000003</v>
      </c>
      <c r="D17" s="12" t="str">
        <f t="shared" si="3"/>
        <v>vis</v>
      </c>
      <c r="E17" s="54">
        <f>VLOOKUP(C17,Active!C$21:E$956,3,FALSE)</f>
        <v>3875.0015201442839</v>
      </c>
      <c r="F17" s="3" t="s">
        <v>69</v>
      </c>
      <c r="G17" s="12" t="str">
        <f t="shared" si="4"/>
        <v>55973.9181</v>
      </c>
      <c r="H17" s="10">
        <f t="shared" si="5"/>
        <v>3875</v>
      </c>
      <c r="I17" s="55" t="s">
        <v>155</v>
      </c>
      <c r="J17" s="56" t="s">
        <v>156</v>
      </c>
      <c r="K17" s="55">
        <v>3875</v>
      </c>
      <c r="L17" s="55" t="s">
        <v>157</v>
      </c>
      <c r="M17" s="56" t="s">
        <v>74</v>
      </c>
      <c r="N17" s="56" t="s">
        <v>69</v>
      </c>
      <c r="O17" s="57" t="s">
        <v>140</v>
      </c>
      <c r="P17" s="58" t="s">
        <v>158</v>
      </c>
    </row>
    <row r="18" spans="1:16" ht="12.75" customHeight="1" thickBot="1" x14ac:dyDescent="0.25">
      <c r="A18" s="10" t="str">
        <f t="shared" si="0"/>
        <v>IBVS 6029 </v>
      </c>
      <c r="B18" s="3" t="str">
        <f t="shared" si="1"/>
        <v>I</v>
      </c>
      <c r="C18" s="10">
        <f t="shared" si="2"/>
        <v>55982.880400000002</v>
      </c>
      <c r="D18" s="12" t="str">
        <f t="shared" si="3"/>
        <v>vis</v>
      </c>
      <c r="E18" s="54">
        <f>VLOOKUP(C18,Active!C$21:E$956,3,FALSE)</f>
        <v>3885.0007782023026</v>
      </c>
      <c r="F18" s="3" t="s">
        <v>69</v>
      </c>
      <c r="G18" s="12" t="str">
        <f t="shared" si="4"/>
        <v>55982.8804</v>
      </c>
      <c r="H18" s="10">
        <f t="shared" si="5"/>
        <v>3885</v>
      </c>
      <c r="I18" s="55" t="s">
        <v>159</v>
      </c>
      <c r="J18" s="56" t="s">
        <v>160</v>
      </c>
      <c r="K18" s="55">
        <v>3885</v>
      </c>
      <c r="L18" s="55" t="s">
        <v>161</v>
      </c>
      <c r="M18" s="56" t="s">
        <v>74</v>
      </c>
      <c r="N18" s="56" t="s">
        <v>69</v>
      </c>
      <c r="O18" s="57" t="s">
        <v>140</v>
      </c>
      <c r="P18" s="58" t="s">
        <v>158</v>
      </c>
    </row>
    <row r="19" spans="1:16" ht="12.75" customHeight="1" thickBot="1" x14ac:dyDescent="0.25">
      <c r="A19" s="10" t="str">
        <f t="shared" si="0"/>
        <v>IBVS 6092 </v>
      </c>
      <c r="B19" s="3" t="str">
        <f t="shared" si="1"/>
        <v>I</v>
      </c>
      <c r="C19" s="10">
        <f t="shared" si="2"/>
        <v>56363.805999999997</v>
      </c>
      <c r="D19" s="12" t="str">
        <f t="shared" si="3"/>
        <v>vis</v>
      </c>
      <c r="E19" s="54">
        <f>VLOOKUP(C19,Active!C$21:E$956,3,FALSE)</f>
        <v>4310.0003179751293</v>
      </c>
      <c r="F19" s="3" t="s">
        <v>69</v>
      </c>
      <c r="G19" s="12" t="str">
        <f t="shared" si="4"/>
        <v>56363.806</v>
      </c>
      <c r="H19" s="10">
        <f t="shared" si="5"/>
        <v>4310</v>
      </c>
      <c r="I19" s="55" t="s">
        <v>162</v>
      </c>
      <c r="J19" s="56" t="s">
        <v>163</v>
      </c>
      <c r="K19" s="55">
        <v>4310</v>
      </c>
      <c r="L19" s="55" t="s">
        <v>164</v>
      </c>
      <c r="M19" s="56" t="s">
        <v>74</v>
      </c>
      <c r="N19" s="56" t="s">
        <v>61</v>
      </c>
      <c r="O19" s="57" t="s">
        <v>165</v>
      </c>
      <c r="P19" s="58" t="s">
        <v>166</v>
      </c>
    </row>
    <row r="20" spans="1:16" ht="12.75" customHeight="1" thickBot="1" x14ac:dyDescent="0.25">
      <c r="A20" s="10" t="str">
        <f t="shared" si="0"/>
        <v>OEJV 0172 </v>
      </c>
      <c r="B20" s="3" t="str">
        <f t="shared" si="1"/>
        <v>I</v>
      </c>
      <c r="C20" s="10">
        <f t="shared" si="2"/>
        <v>57021.692000000003</v>
      </c>
      <c r="D20" s="12" t="str">
        <f t="shared" si="3"/>
        <v>vis</v>
      </c>
      <c r="E20" s="54">
        <f>VLOOKUP(C20,Active!C$21:E$956,3,FALSE)</f>
        <v>5044.0051924781601</v>
      </c>
      <c r="F20" s="3" t="s">
        <v>69</v>
      </c>
      <c r="G20" s="12" t="str">
        <f t="shared" si="4"/>
        <v>57021.692</v>
      </c>
      <c r="H20" s="10">
        <f t="shared" si="5"/>
        <v>5044</v>
      </c>
      <c r="I20" s="55" t="s">
        <v>167</v>
      </c>
      <c r="J20" s="56" t="s">
        <v>168</v>
      </c>
      <c r="K20" s="55">
        <v>5044</v>
      </c>
      <c r="L20" s="55" t="s">
        <v>169</v>
      </c>
      <c r="M20" s="56" t="s">
        <v>74</v>
      </c>
      <c r="N20" s="56" t="s">
        <v>152</v>
      </c>
      <c r="O20" s="57" t="s">
        <v>170</v>
      </c>
      <c r="P20" s="58" t="s">
        <v>171</v>
      </c>
    </row>
    <row r="21" spans="1:16" ht="12.75" customHeight="1" thickBot="1" x14ac:dyDescent="0.25">
      <c r="A21" s="10" t="str">
        <f t="shared" si="0"/>
        <v>OEJV 0074 </v>
      </c>
      <c r="B21" s="3" t="str">
        <f t="shared" si="1"/>
        <v>I</v>
      </c>
      <c r="C21" s="10">
        <f t="shared" si="2"/>
        <v>53109.354200000002</v>
      </c>
      <c r="D21" s="12" t="str">
        <f t="shared" si="3"/>
        <v>vis</v>
      </c>
      <c r="E21" s="54" t="e">
        <f>VLOOKUP(C21,Active!C$21:E$956,3,FALSE)</f>
        <v>#N/A</v>
      </c>
      <c r="F21" s="3" t="s">
        <v>69</v>
      </c>
      <c r="G21" s="12" t="str">
        <f t="shared" si="4"/>
        <v>53109.3542</v>
      </c>
      <c r="H21" s="10">
        <f t="shared" si="5"/>
        <v>679</v>
      </c>
      <c r="I21" s="55" t="s">
        <v>78</v>
      </c>
      <c r="J21" s="56" t="s">
        <v>79</v>
      </c>
      <c r="K21" s="55">
        <v>679</v>
      </c>
      <c r="L21" s="55" t="s">
        <v>80</v>
      </c>
      <c r="M21" s="56" t="s">
        <v>74</v>
      </c>
      <c r="N21" s="56" t="s">
        <v>75</v>
      </c>
      <c r="O21" s="57" t="s">
        <v>76</v>
      </c>
      <c r="P21" s="58" t="s">
        <v>77</v>
      </c>
    </row>
    <row r="22" spans="1:16" ht="12.75" customHeight="1" thickBot="1" x14ac:dyDescent="0.25">
      <c r="A22" s="10" t="str">
        <f t="shared" si="0"/>
        <v>OEJV 0074 </v>
      </c>
      <c r="B22" s="3" t="str">
        <f t="shared" si="1"/>
        <v>I</v>
      </c>
      <c r="C22" s="10">
        <f t="shared" si="2"/>
        <v>53117.4185</v>
      </c>
      <c r="D22" s="12" t="str">
        <f t="shared" si="3"/>
        <v>vis</v>
      </c>
      <c r="E22" s="54" t="e">
        <f>VLOOKUP(C22,Active!C$21:E$956,3,FALSE)</f>
        <v>#N/A</v>
      </c>
      <c r="F22" s="3" t="s">
        <v>69</v>
      </c>
      <c r="G22" s="12" t="str">
        <f t="shared" si="4"/>
        <v>53117.4185</v>
      </c>
      <c r="H22" s="10">
        <f t="shared" si="5"/>
        <v>688</v>
      </c>
      <c r="I22" s="55" t="s">
        <v>81</v>
      </c>
      <c r="J22" s="56" t="s">
        <v>82</v>
      </c>
      <c r="K22" s="55">
        <v>688</v>
      </c>
      <c r="L22" s="55" t="s">
        <v>83</v>
      </c>
      <c r="M22" s="56" t="s">
        <v>74</v>
      </c>
      <c r="N22" s="56" t="s">
        <v>75</v>
      </c>
      <c r="O22" s="57" t="s">
        <v>76</v>
      </c>
      <c r="P22" s="58" t="s">
        <v>77</v>
      </c>
    </row>
    <row r="23" spans="1:16" ht="12.75" customHeight="1" thickBot="1" x14ac:dyDescent="0.25">
      <c r="A23" s="10" t="str">
        <f t="shared" si="0"/>
        <v>OEJV 0074 </v>
      </c>
      <c r="B23" s="3" t="str">
        <f t="shared" si="1"/>
        <v>I</v>
      </c>
      <c r="C23" s="10">
        <f t="shared" si="2"/>
        <v>53340.5965</v>
      </c>
      <c r="D23" s="12" t="str">
        <f t="shared" si="3"/>
        <v>vis</v>
      </c>
      <c r="E23" s="54" t="e">
        <f>VLOOKUP(C23,Active!C$21:E$956,3,FALSE)</f>
        <v>#N/A</v>
      </c>
      <c r="F23" s="3" t="s">
        <v>69</v>
      </c>
      <c r="G23" s="12" t="str">
        <f t="shared" si="4"/>
        <v>53340.5965</v>
      </c>
      <c r="H23" s="10">
        <f t="shared" si="5"/>
        <v>937</v>
      </c>
      <c r="I23" s="55" t="s">
        <v>84</v>
      </c>
      <c r="J23" s="56" t="s">
        <v>85</v>
      </c>
      <c r="K23" s="55">
        <v>937</v>
      </c>
      <c r="L23" s="55" t="s">
        <v>86</v>
      </c>
      <c r="M23" s="56" t="s">
        <v>74</v>
      </c>
      <c r="N23" s="56" t="s">
        <v>40</v>
      </c>
      <c r="O23" s="57" t="s">
        <v>76</v>
      </c>
      <c r="P23" s="58" t="s">
        <v>77</v>
      </c>
    </row>
    <row r="24" spans="1:16" ht="12.75" customHeight="1" thickBot="1" x14ac:dyDescent="0.25">
      <c r="A24" s="10" t="str">
        <f t="shared" si="0"/>
        <v>OEJV 0074 </v>
      </c>
      <c r="B24" s="3" t="str">
        <f t="shared" si="1"/>
        <v>II</v>
      </c>
      <c r="C24" s="10">
        <f t="shared" si="2"/>
        <v>53388.548900000002</v>
      </c>
      <c r="D24" s="12" t="str">
        <f t="shared" si="3"/>
        <v>vis</v>
      </c>
      <c r="E24" s="54" t="e">
        <f>VLOOKUP(C24,Active!C$21:E$956,3,FALSE)</f>
        <v>#N/A</v>
      </c>
      <c r="F24" s="3" t="s">
        <v>69</v>
      </c>
      <c r="G24" s="12" t="str">
        <f t="shared" si="4"/>
        <v>53388.5489</v>
      </c>
      <c r="H24" s="10">
        <f t="shared" si="5"/>
        <v>990.5</v>
      </c>
      <c r="I24" s="55" t="s">
        <v>93</v>
      </c>
      <c r="J24" s="56" t="s">
        <v>94</v>
      </c>
      <c r="K24" s="55">
        <v>990.5</v>
      </c>
      <c r="L24" s="55" t="s">
        <v>95</v>
      </c>
      <c r="M24" s="56" t="s">
        <v>74</v>
      </c>
      <c r="N24" s="56" t="s">
        <v>40</v>
      </c>
      <c r="O24" s="57" t="s">
        <v>76</v>
      </c>
      <c r="P24" s="58" t="s">
        <v>77</v>
      </c>
    </row>
    <row r="25" spans="1:16" ht="12.75" customHeight="1" thickBot="1" x14ac:dyDescent="0.25">
      <c r="A25" s="10" t="str">
        <f t="shared" si="0"/>
        <v>OEJV 0074 </v>
      </c>
      <c r="B25" s="3" t="str">
        <f t="shared" si="1"/>
        <v>I</v>
      </c>
      <c r="C25" s="10">
        <f t="shared" si="2"/>
        <v>53409.611499999999</v>
      </c>
      <c r="D25" s="12" t="str">
        <f t="shared" si="3"/>
        <v>vis</v>
      </c>
      <c r="E25" s="54" t="e">
        <f>VLOOKUP(C25,Active!C$21:E$956,3,FALSE)</f>
        <v>#N/A</v>
      </c>
      <c r="F25" s="3" t="s">
        <v>69</v>
      </c>
      <c r="G25" s="12" t="str">
        <f t="shared" si="4"/>
        <v>53409.6115</v>
      </c>
      <c r="H25" s="10">
        <f t="shared" si="5"/>
        <v>1014</v>
      </c>
      <c r="I25" s="55" t="s">
        <v>96</v>
      </c>
      <c r="J25" s="56" t="s">
        <v>97</v>
      </c>
      <c r="K25" s="55">
        <v>1014</v>
      </c>
      <c r="L25" s="55" t="s">
        <v>98</v>
      </c>
      <c r="M25" s="56" t="s">
        <v>74</v>
      </c>
      <c r="N25" s="56" t="s">
        <v>40</v>
      </c>
      <c r="O25" s="57" t="s">
        <v>76</v>
      </c>
      <c r="P25" s="58" t="s">
        <v>77</v>
      </c>
    </row>
    <row r="26" spans="1:16" ht="12.75" customHeight="1" thickBot="1" x14ac:dyDescent="0.25">
      <c r="A26" s="10" t="str">
        <f t="shared" si="0"/>
        <v>OEJV 0074 </v>
      </c>
      <c r="B26" s="3" t="str">
        <f t="shared" si="1"/>
        <v>I</v>
      </c>
      <c r="C26" s="10">
        <f t="shared" si="2"/>
        <v>53454.426800000001</v>
      </c>
      <c r="D26" s="12" t="str">
        <f t="shared" si="3"/>
        <v>vis</v>
      </c>
      <c r="E26" s="54" t="e">
        <f>VLOOKUP(C26,Active!C$21:E$956,3,FALSE)</f>
        <v>#N/A</v>
      </c>
      <c r="F26" s="3" t="s">
        <v>69</v>
      </c>
      <c r="G26" s="12" t="str">
        <f t="shared" si="4"/>
        <v>53454.4268</v>
      </c>
      <c r="H26" s="10">
        <f t="shared" si="5"/>
        <v>1064</v>
      </c>
      <c r="I26" s="55" t="s">
        <v>99</v>
      </c>
      <c r="J26" s="56" t="s">
        <v>100</v>
      </c>
      <c r="K26" s="55">
        <v>1064</v>
      </c>
      <c r="L26" s="55" t="s">
        <v>101</v>
      </c>
      <c r="M26" s="56" t="s">
        <v>74</v>
      </c>
      <c r="N26" s="56" t="s">
        <v>69</v>
      </c>
      <c r="O26" s="57" t="s">
        <v>76</v>
      </c>
      <c r="P26" s="58" t="s">
        <v>77</v>
      </c>
    </row>
    <row r="27" spans="1:16" ht="12.75" customHeight="1" thickBot="1" x14ac:dyDescent="0.25">
      <c r="A27" s="10" t="str">
        <f t="shared" si="0"/>
        <v>OEJV 0074 </v>
      </c>
      <c r="B27" s="3" t="str">
        <f t="shared" si="1"/>
        <v>I</v>
      </c>
      <c r="C27" s="10">
        <f t="shared" si="2"/>
        <v>53462.492700000003</v>
      </c>
      <c r="D27" s="12" t="str">
        <f t="shared" si="3"/>
        <v>vis</v>
      </c>
      <c r="E27" s="54" t="e">
        <f>VLOOKUP(C27,Active!C$21:E$956,3,FALSE)</f>
        <v>#N/A</v>
      </c>
      <c r="F27" s="3" t="s">
        <v>69</v>
      </c>
      <c r="G27" s="12" t="str">
        <f t="shared" si="4"/>
        <v>53462.4927</v>
      </c>
      <c r="H27" s="10">
        <f t="shared" si="5"/>
        <v>1073</v>
      </c>
      <c r="I27" s="55" t="s">
        <v>102</v>
      </c>
      <c r="J27" s="56" t="s">
        <v>103</v>
      </c>
      <c r="K27" s="55">
        <v>1073</v>
      </c>
      <c r="L27" s="55" t="s">
        <v>104</v>
      </c>
      <c r="M27" s="56" t="s">
        <v>74</v>
      </c>
      <c r="N27" s="56" t="s">
        <v>40</v>
      </c>
      <c r="O27" s="57" t="s">
        <v>76</v>
      </c>
      <c r="P27" s="58" t="s">
        <v>77</v>
      </c>
    </row>
    <row r="28" spans="1:16" ht="12.75" customHeight="1" thickBot="1" x14ac:dyDescent="0.25">
      <c r="A28" s="10" t="str">
        <f t="shared" si="0"/>
        <v>OEJV 0074 </v>
      </c>
      <c r="B28" s="3" t="str">
        <f t="shared" si="1"/>
        <v>I</v>
      </c>
      <c r="C28" s="10">
        <f t="shared" si="2"/>
        <v>53463.389900000002</v>
      </c>
      <c r="D28" s="12" t="str">
        <f t="shared" si="3"/>
        <v>vis</v>
      </c>
      <c r="E28" s="54" t="e">
        <f>VLOOKUP(C28,Active!C$21:E$956,3,FALSE)</f>
        <v>#N/A</v>
      </c>
      <c r="F28" s="3" t="s">
        <v>69</v>
      </c>
      <c r="G28" s="12" t="str">
        <f t="shared" si="4"/>
        <v>53463.3899</v>
      </c>
      <c r="H28" s="10">
        <f t="shared" si="5"/>
        <v>1074</v>
      </c>
      <c r="I28" s="55" t="s">
        <v>105</v>
      </c>
      <c r="J28" s="56" t="s">
        <v>106</v>
      </c>
      <c r="K28" s="55">
        <v>1074</v>
      </c>
      <c r="L28" s="55" t="s">
        <v>107</v>
      </c>
      <c r="M28" s="56" t="s">
        <v>74</v>
      </c>
      <c r="N28" s="56" t="s">
        <v>40</v>
      </c>
      <c r="O28" s="57" t="s">
        <v>76</v>
      </c>
      <c r="P28" s="58" t="s">
        <v>77</v>
      </c>
    </row>
    <row r="29" spans="1:16" ht="12.75" customHeight="1" thickBot="1" x14ac:dyDescent="0.25">
      <c r="A29" s="10" t="str">
        <f t="shared" si="0"/>
        <v>OEJV 0074 </v>
      </c>
      <c r="B29" s="3" t="str">
        <f t="shared" si="1"/>
        <v>I</v>
      </c>
      <c r="C29" s="10">
        <f t="shared" si="2"/>
        <v>53515.378100000002</v>
      </c>
      <c r="D29" s="12" t="str">
        <f t="shared" si="3"/>
        <v>vis</v>
      </c>
      <c r="E29" s="54" t="e">
        <f>VLOOKUP(C29,Active!C$21:E$956,3,FALSE)</f>
        <v>#N/A</v>
      </c>
      <c r="F29" s="3" t="s">
        <v>69</v>
      </c>
      <c r="G29" s="12" t="str">
        <f t="shared" si="4"/>
        <v>53515.3781</v>
      </c>
      <c r="H29" s="10">
        <f t="shared" si="5"/>
        <v>1132</v>
      </c>
      <c r="I29" s="55" t="s">
        <v>108</v>
      </c>
      <c r="J29" s="56" t="s">
        <v>109</v>
      </c>
      <c r="K29" s="55">
        <v>1132</v>
      </c>
      <c r="L29" s="55" t="s">
        <v>110</v>
      </c>
      <c r="M29" s="56" t="s">
        <v>74</v>
      </c>
      <c r="N29" s="56" t="s">
        <v>40</v>
      </c>
      <c r="O29" s="57" t="s">
        <v>76</v>
      </c>
      <c r="P29" s="58" t="s">
        <v>77</v>
      </c>
    </row>
    <row r="30" spans="1:16" ht="12.75" customHeight="1" thickBot="1" x14ac:dyDescent="0.25">
      <c r="A30" s="10" t="str">
        <f t="shared" si="0"/>
        <v>OEJV 0074 </v>
      </c>
      <c r="B30" s="3" t="str">
        <f t="shared" si="1"/>
        <v>I</v>
      </c>
      <c r="C30" s="10">
        <f t="shared" si="2"/>
        <v>53791.435299999997</v>
      </c>
      <c r="D30" s="12" t="str">
        <f t="shared" si="3"/>
        <v>vis</v>
      </c>
      <c r="E30" s="54" t="e">
        <f>VLOOKUP(C30,Active!C$21:E$956,3,FALSE)</f>
        <v>#N/A</v>
      </c>
      <c r="F30" s="3" t="s">
        <v>69</v>
      </c>
      <c r="G30" s="12" t="str">
        <f t="shared" si="4"/>
        <v>53791.4353</v>
      </c>
      <c r="H30" s="10">
        <f t="shared" si="5"/>
        <v>1440</v>
      </c>
      <c r="I30" s="55" t="s">
        <v>111</v>
      </c>
      <c r="J30" s="56" t="s">
        <v>112</v>
      </c>
      <c r="K30" s="55">
        <v>1440</v>
      </c>
      <c r="L30" s="55" t="s">
        <v>113</v>
      </c>
      <c r="M30" s="56" t="s">
        <v>74</v>
      </c>
      <c r="N30" s="56" t="s">
        <v>40</v>
      </c>
      <c r="O30" s="57" t="s">
        <v>76</v>
      </c>
      <c r="P30" s="58" t="s">
        <v>77</v>
      </c>
    </row>
    <row r="31" spans="1:16" ht="12.75" customHeight="1" thickBot="1" x14ac:dyDescent="0.25">
      <c r="A31" s="10" t="str">
        <f t="shared" si="0"/>
        <v>OEJV 0074 </v>
      </c>
      <c r="B31" s="3" t="str">
        <f t="shared" si="1"/>
        <v>I</v>
      </c>
      <c r="C31" s="10">
        <f t="shared" si="2"/>
        <v>53833.560599999997</v>
      </c>
      <c r="D31" s="12" t="str">
        <f t="shared" si="3"/>
        <v>vis</v>
      </c>
      <c r="E31" s="54" t="e">
        <f>VLOOKUP(C31,Active!C$21:E$956,3,FALSE)</f>
        <v>#N/A</v>
      </c>
      <c r="F31" s="3" t="s">
        <v>69</v>
      </c>
      <c r="G31" s="12" t="str">
        <f t="shared" si="4"/>
        <v>53833.5606</v>
      </c>
      <c r="H31" s="10">
        <f t="shared" si="5"/>
        <v>1487</v>
      </c>
      <c r="I31" s="55" t="s">
        <v>114</v>
      </c>
      <c r="J31" s="56" t="s">
        <v>115</v>
      </c>
      <c r="K31" s="55">
        <v>1487</v>
      </c>
      <c r="L31" s="55" t="s">
        <v>116</v>
      </c>
      <c r="M31" s="56" t="s">
        <v>74</v>
      </c>
      <c r="N31" s="56" t="s">
        <v>75</v>
      </c>
      <c r="O31" s="57" t="s">
        <v>76</v>
      </c>
      <c r="P31" s="58" t="s">
        <v>77</v>
      </c>
    </row>
    <row r="32" spans="1:16" ht="12.75" customHeight="1" thickBot="1" x14ac:dyDescent="0.25">
      <c r="A32" s="10" t="str">
        <f t="shared" si="0"/>
        <v>OEJV 0074 </v>
      </c>
      <c r="B32" s="3" t="str">
        <f t="shared" si="1"/>
        <v>II</v>
      </c>
      <c r="C32" s="10">
        <f t="shared" si="2"/>
        <v>53848.351699999999</v>
      </c>
      <c r="D32" s="12" t="str">
        <f t="shared" si="3"/>
        <v>vis</v>
      </c>
      <c r="E32" s="54" t="e">
        <f>VLOOKUP(C32,Active!C$21:E$956,3,FALSE)</f>
        <v>#N/A</v>
      </c>
      <c r="F32" s="3" t="s">
        <v>69</v>
      </c>
      <c r="G32" s="12" t="str">
        <f t="shared" si="4"/>
        <v>53848.3517</v>
      </c>
      <c r="H32" s="10">
        <f t="shared" si="5"/>
        <v>1503.5</v>
      </c>
      <c r="I32" s="55" t="s">
        <v>117</v>
      </c>
      <c r="J32" s="56" t="s">
        <v>118</v>
      </c>
      <c r="K32" s="55">
        <v>1503.5</v>
      </c>
      <c r="L32" s="55" t="s">
        <v>119</v>
      </c>
      <c r="M32" s="56" t="s">
        <v>74</v>
      </c>
      <c r="N32" s="56" t="s">
        <v>75</v>
      </c>
      <c r="O32" s="57" t="s">
        <v>76</v>
      </c>
      <c r="P32" s="58" t="s">
        <v>77</v>
      </c>
    </row>
    <row r="33" spans="1:16" ht="12.75" customHeight="1" thickBot="1" x14ac:dyDescent="0.25">
      <c r="A33" s="10" t="str">
        <f t="shared" si="0"/>
        <v>OEJV 0074 </v>
      </c>
      <c r="B33" s="3" t="str">
        <f t="shared" si="1"/>
        <v>I</v>
      </c>
      <c r="C33" s="10">
        <f t="shared" si="2"/>
        <v>54171.464099999997</v>
      </c>
      <c r="D33" s="12" t="str">
        <f t="shared" si="3"/>
        <v>vis</v>
      </c>
      <c r="E33" s="54" t="e">
        <f>VLOOKUP(C33,Active!C$21:E$956,3,FALSE)</f>
        <v>#N/A</v>
      </c>
      <c r="F33" s="3" t="s">
        <v>69</v>
      </c>
      <c r="G33" s="12" t="str">
        <f t="shared" si="4"/>
        <v>54171.4641</v>
      </c>
      <c r="H33" s="10">
        <f t="shared" si="5"/>
        <v>1864</v>
      </c>
      <c r="I33" s="55" t="s">
        <v>120</v>
      </c>
      <c r="J33" s="56" t="s">
        <v>121</v>
      </c>
      <c r="K33" s="55">
        <v>1864</v>
      </c>
      <c r="L33" s="55" t="s">
        <v>122</v>
      </c>
      <c r="M33" s="56" t="s">
        <v>74</v>
      </c>
      <c r="N33" s="56" t="s">
        <v>75</v>
      </c>
      <c r="O33" s="57" t="s">
        <v>76</v>
      </c>
      <c r="P33" s="58" t="s">
        <v>77</v>
      </c>
    </row>
    <row r="34" spans="1:16" ht="12.75" customHeight="1" thickBot="1" x14ac:dyDescent="0.25">
      <c r="A34" s="10" t="str">
        <f t="shared" si="0"/>
        <v>OEJV 0074 </v>
      </c>
      <c r="B34" s="3" t="str">
        <f t="shared" si="1"/>
        <v>I</v>
      </c>
      <c r="C34" s="10">
        <f t="shared" si="2"/>
        <v>54171.464200000002</v>
      </c>
      <c r="D34" s="12" t="str">
        <f t="shared" si="3"/>
        <v>vis</v>
      </c>
      <c r="E34" s="54" t="e">
        <f>VLOOKUP(C34,Active!C$21:E$956,3,FALSE)</f>
        <v>#N/A</v>
      </c>
      <c r="F34" s="3" t="s">
        <v>69</v>
      </c>
      <c r="G34" s="12" t="str">
        <f t="shared" si="4"/>
        <v>54171.4642</v>
      </c>
      <c r="H34" s="10">
        <f t="shared" si="5"/>
        <v>1864</v>
      </c>
      <c r="I34" s="55" t="s">
        <v>123</v>
      </c>
      <c r="J34" s="56" t="s">
        <v>121</v>
      </c>
      <c r="K34" s="55">
        <v>1864</v>
      </c>
      <c r="L34" s="55" t="s">
        <v>124</v>
      </c>
      <c r="M34" s="56" t="s">
        <v>74</v>
      </c>
      <c r="N34" s="56" t="s">
        <v>40</v>
      </c>
      <c r="O34" s="57" t="s">
        <v>76</v>
      </c>
      <c r="P34" s="58" t="s">
        <v>77</v>
      </c>
    </row>
    <row r="35" spans="1:16" ht="12.75" customHeight="1" thickBot="1" x14ac:dyDescent="0.25">
      <c r="A35" s="10" t="str">
        <f t="shared" si="0"/>
        <v>OEJV 0074 </v>
      </c>
      <c r="B35" s="3" t="str">
        <f t="shared" si="1"/>
        <v>I</v>
      </c>
      <c r="C35" s="10">
        <f t="shared" si="2"/>
        <v>54171.464599999999</v>
      </c>
      <c r="D35" s="12" t="str">
        <f t="shared" si="3"/>
        <v>vis</v>
      </c>
      <c r="E35" s="54" t="e">
        <f>VLOOKUP(C35,Active!C$21:E$956,3,FALSE)</f>
        <v>#N/A</v>
      </c>
      <c r="F35" s="3" t="s">
        <v>69</v>
      </c>
      <c r="G35" s="12" t="str">
        <f t="shared" si="4"/>
        <v>54171.4646</v>
      </c>
      <c r="H35" s="10">
        <f t="shared" si="5"/>
        <v>1864</v>
      </c>
      <c r="I35" s="55" t="s">
        <v>125</v>
      </c>
      <c r="J35" s="56" t="s">
        <v>126</v>
      </c>
      <c r="K35" s="55">
        <v>1864</v>
      </c>
      <c r="L35" s="55" t="s">
        <v>127</v>
      </c>
      <c r="M35" s="56" t="s">
        <v>74</v>
      </c>
      <c r="N35" s="56" t="s">
        <v>69</v>
      </c>
      <c r="O35" s="57" t="s">
        <v>76</v>
      </c>
      <c r="P35" s="58" t="s">
        <v>77</v>
      </c>
    </row>
    <row r="36" spans="1:16" ht="12.75" customHeight="1" thickBot="1" x14ac:dyDescent="0.25">
      <c r="A36" s="10" t="str">
        <f t="shared" si="0"/>
        <v>OEJV 0074 </v>
      </c>
      <c r="B36" s="3" t="str">
        <f t="shared" si="1"/>
        <v>II</v>
      </c>
      <c r="C36" s="10">
        <f t="shared" si="2"/>
        <v>54202.385999999999</v>
      </c>
      <c r="D36" s="12" t="str">
        <f t="shared" si="3"/>
        <v>vis</v>
      </c>
      <c r="E36" s="54" t="e">
        <f>VLOOKUP(C36,Active!C$21:E$956,3,FALSE)</f>
        <v>#N/A</v>
      </c>
      <c r="F36" s="3" t="s">
        <v>69</v>
      </c>
      <c r="G36" s="12" t="str">
        <f t="shared" si="4"/>
        <v>54202.3860</v>
      </c>
      <c r="H36" s="10">
        <f t="shared" si="5"/>
        <v>1898.5</v>
      </c>
      <c r="I36" s="55" t="s">
        <v>128</v>
      </c>
      <c r="J36" s="56" t="s">
        <v>129</v>
      </c>
      <c r="K36" s="55">
        <v>1898.5</v>
      </c>
      <c r="L36" s="55" t="s">
        <v>101</v>
      </c>
      <c r="M36" s="56" t="s">
        <v>74</v>
      </c>
      <c r="N36" s="56" t="s">
        <v>75</v>
      </c>
      <c r="O36" s="57" t="s">
        <v>76</v>
      </c>
      <c r="P36" s="58" t="s">
        <v>77</v>
      </c>
    </row>
    <row r="37" spans="1:16" ht="12.75" customHeight="1" thickBot="1" x14ac:dyDescent="0.25">
      <c r="A37" s="10" t="str">
        <f t="shared" si="0"/>
        <v>OEJV 0074 </v>
      </c>
      <c r="B37" s="3" t="str">
        <f t="shared" si="1"/>
        <v>II</v>
      </c>
      <c r="C37" s="10">
        <f t="shared" si="2"/>
        <v>54202.388299999999</v>
      </c>
      <c r="D37" s="12" t="str">
        <f t="shared" si="3"/>
        <v>vis</v>
      </c>
      <c r="E37" s="54" t="e">
        <f>VLOOKUP(C37,Active!C$21:E$956,3,FALSE)</f>
        <v>#N/A</v>
      </c>
      <c r="F37" s="3" t="s">
        <v>69</v>
      </c>
      <c r="G37" s="12" t="str">
        <f t="shared" si="4"/>
        <v>54202.3883</v>
      </c>
      <c r="H37" s="10">
        <f t="shared" si="5"/>
        <v>1898.5</v>
      </c>
      <c r="I37" s="55" t="s">
        <v>130</v>
      </c>
      <c r="J37" s="56" t="s">
        <v>131</v>
      </c>
      <c r="K37" s="55">
        <v>1898.5</v>
      </c>
      <c r="L37" s="55" t="s">
        <v>132</v>
      </c>
      <c r="M37" s="56" t="s">
        <v>74</v>
      </c>
      <c r="N37" s="56" t="s">
        <v>40</v>
      </c>
      <c r="O37" s="57" t="s">
        <v>76</v>
      </c>
      <c r="P37" s="58" t="s">
        <v>77</v>
      </c>
    </row>
    <row r="38" spans="1:16" ht="12.75" customHeight="1" thickBot="1" x14ac:dyDescent="0.25">
      <c r="A38" s="10" t="str">
        <f t="shared" si="0"/>
        <v>VSB 48 </v>
      </c>
      <c r="B38" s="3" t="str">
        <f t="shared" si="1"/>
        <v>I</v>
      </c>
      <c r="C38" s="10">
        <f t="shared" si="2"/>
        <v>54572.108500000002</v>
      </c>
      <c r="D38" s="12" t="str">
        <f t="shared" si="3"/>
        <v>vis</v>
      </c>
      <c r="E38" s="54">
        <f>VLOOKUP(C38,Active!C$21:E$956,3,FALSE)</f>
        <v>2310.9994293183122</v>
      </c>
      <c r="F38" s="3" t="s">
        <v>69</v>
      </c>
      <c r="G38" s="12" t="str">
        <f t="shared" si="4"/>
        <v>54572.1085</v>
      </c>
      <c r="H38" s="10">
        <f t="shared" si="5"/>
        <v>2311</v>
      </c>
      <c r="I38" s="55" t="s">
        <v>133</v>
      </c>
      <c r="J38" s="56" t="s">
        <v>134</v>
      </c>
      <c r="K38" s="55">
        <v>2311</v>
      </c>
      <c r="L38" s="55" t="s">
        <v>122</v>
      </c>
      <c r="M38" s="56" t="s">
        <v>74</v>
      </c>
      <c r="N38" s="56" t="s">
        <v>69</v>
      </c>
      <c r="O38" s="57" t="s">
        <v>135</v>
      </c>
      <c r="P38" s="58" t="s">
        <v>136</v>
      </c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</sheetData>
  <phoneticPr fontId="8" type="noConversion"/>
  <hyperlinks>
    <hyperlink ref="P11" r:id="rId1" display="http://var.astro.cz/oejv/issues/oejv0074.pdf"/>
    <hyperlink ref="P21" r:id="rId2" display="http://var.astro.cz/oejv/issues/oejv0074.pdf"/>
    <hyperlink ref="P22" r:id="rId3" display="http://var.astro.cz/oejv/issues/oejv0074.pdf"/>
    <hyperlink ref="P23" r:id="rId4" display="http://var.astro.cz/oejv/issues/oejv0074.pdf"/>
    <hyperlink ref="P12" r:id="rId5" display="http://var.astro.cz/oejv/issues/oejv0003.pdf"/>
    <hyperlink ref="P24" r:id="rId6" display="http://var.astro.cz/oejv/issues/oejv0074.pdf"/>
    <hyperlink ref="P25" r:id="rId7" display="http://var.astro.cz/oejv/issues/oejv0074.pdf"/>
    <hyperlink ref="P26" r:id="rId8" display="http://var.astro.cz/oejv/issues/oejv0074.pdf"/>
    <hyperlink ref="P27" r:id="rId9" display="http://var.astro.cz/oejv/issues/oejv0074.pdf"/>
    <hyperlink ref="P28" r:id="rId10" display="http://var.astro.cz/oejv/issues/oejv0074.pdf"/>
    <hyperlink ref="P29" r:id="rId11" display="http://var.astro.cz/oejv/issues/oejv0074.pdf"/>
    <hyperlink ref="P30" r:id="rId12" display="http://var.astro.cz/oejv/issues/oejv0074.pdf"/>
    <hyperlink ref="P31" r:id="rId13" display="http://var.astro.cz/oejv/issues/oejv0074.pdf"/>
    <hyperlink ref="P32" r:id="rId14" display="http://var.astro.cz/oejv/issues/oejv0074.pdf"/>
    <hyperlink ref="P33" r:id="rId15" display="http://var.astro.cz/oejv/issues/oejv0074.pdf"/>
    <hyperlink ref="P34" r:id="rId16" display="http://var.astro.cz/oejv/issues/oejv0074.pdf"/>
    <hyperlink ref="P35" r:id="rId17" display="http://var.astro.cz/oejv/issues/oejv0074.pdf"/>
    <hyperlink ref="P36" r:id="rId18" display="http://var.astro.cz/oejv/issues/oejv0074.pdf"/>
    <hyperlink ref="P37" r:id="rId19" display="http://var.astro.cz/oejv/issues/oejv0074.pdf"/>
    <hyperlink ref="P38" r:id="rId20" display="http://vsolj.cetus-net.org/no48.pdf"/>
    <hyperlink ref="P13" r:id="rId21" display="http://www.konkoly.hu/cgi-bin/IBVS?5894"/>
    <hyperlink ref="P14" r:id="rId22" display="http://var.astro.cz/oejv/issues/oejv0107.pdf"/>
    <hyperlink ref="P15" r:id="rId23" display="http://www.konkoly.hu/cgi-bin/IBVS?5992"/>
    <hyperlink ref="P16" r:id="rId24" display="http://www.bav-astro.de/sfs/BAVM_link.php?BAVMnr=220"/>
    <hyperlink ref="P17" r:id="rId25" display="http://www.konkoly.hu/cgi-bin/IBVS?6029"/>
    <hyperlink ref="P18" r:id="rId26" display="http://www.konkoly.hu/cgi-bin/IBVS?6029"/>
    <hyperlink ref="P19" r:id="rId27" display="http://www.konkoly.hu/cgi-bin/IBVS?6092"/>
    <hyperlink ref="P20" r:id="rId28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2023-01-11T06:42:39Z</dcterms:modified>
</cp:coreProperties>
</file>