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31638D4-C2A1-43AF-966F-0E6442D44B24}" xr6:coauthVersionLast="47" xr6:coauthVersionMax="47" xr10:uidLastSave="{00000000-0000-0000-0000-000000000000}"/>
  <bookViews>
    <workbookView xWindow="14745" yWindow="225" windowWidth="13995" windowHeight="1431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30" i="2"/>
  <c r="F30" i="2" s="1"/>
  <c r="G30" i="2" s="1"/>
  <c r="K30" i="2" s="1"/>
  <c r="Q30" i="2"/>
  <c r="E29" i="2"/>
  <c r="F29" i="2" s="1"/>
  <c r="G29" i="2" s="1"/>
  <c r="K29" i="2" s="1"/>
  <c r="Q29" i="2"/>
  <c r="E29" i="1"/>
  <c r="F29" i="1" s="1"/>
  <c r="G29" i="1" s="1"/>
  <c r="I29" i="1" s="1"/>
  <c r="Q29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F27" i="2"/>
  <c r="G27" i="2"/>
  <c r="K27" i="2"/>
  <c r="F24" i="2"/>
  <c r="G24" i="2"/>
  <c r="K24" i="2"/>
  <c r="E26" i="2"/>
  <c r="F26" i="2"/>
  <c r="G26" i="2"/>
  <c r="K26" i="2"/>
  <c r="E27" i="2"/>
  <c r="E28" i="2"/>
  <c r="F28" i="2"/>
  <c r="G28" i="2"/>
  <c r="K28" i="2"/>
  <c r="D9" i="2"/>
  <c r="C9" i="2"/>
  <c r="Q26" i="2"/>
  <c r="Q27" i="2"/>
  <c r="Q28" i="2"/>
  <c r="E22" i="2"/>
  <c r="F22" i="2"/>
  <c r="G22" i="2"/>
  <c r="K22" i="2"/>
  <c r="E23" i="2"/>
  <c r="F23" i="2"/>
  <c r="G23" i="2"/>
  <c r="K23" i="2"/>
  <c r="E24" i="2"/>
  <c r="E25" i="2"/>
  <c r="F25" i="2"/>
  <c r="G25" i="2"/>
  <c r="K25" i="2"/>
  <c r="F16" i="2"/>
  <c r="F17" i="2" s="1"/>
  <c r="A21" i="2"/>
  <c r="C21" i="2"/>
  <c r="C17" i="2"/>
  <c r="Q21" i="2"/>
  <c r="Q22" i="2"/>
  <c r="Q23" i="2"/>
  <c r="Q24" i="2"/>
  <c r="Q25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E21" i="1"/>
  <c r="F21" i="1"/>
  <c r="A21" i="1"/>
  <c r="H20" i="1"/>
  <c r="G11" i="1"/>
  <c r="E14" i="1"/>
  <c r="E15" i="1" s="1"/>
  <c r="C17" i="1"/>
  <c r="Q21" i="1"/>
  <c r="G21" i="1"/>
  <c r="E21" i="2"/>
  <c r="F21" i="2"/>
  <c r="G21" i="2"/>
  <c r="J21" i="2"/>
  <c r="H21" i="1"/>
  <c r="C11" i="2"/>
  <c r="C12" i="2"/>
  <c r="C11" i="1"/>
  <c r="C12" i="1"/>
  <c r="O30" i="1" l="1"/>
  <c r="S30" i="1" s="1"/>
  <c r="O30" i="2"/>
  <c r="S30" i="2" s="1"/>
  <c r="O29" i="2"/>
  <c r="S29" i="2" s="1"/>
  <c r="O29" i="1"/>
  <c r="S29" i="1" s="1"/>
  <c r="C16" i="2"/>
  <c r="D18" i="2" s="1"/>
  <c r="C16" i="1"/>
  <c r="D18" i="1" s="1"/>
  <c r="O26" i="2"/>
  <c r="S26" i="2" s="1"/>
  <c r="O25" i="2"/>
  <c r="S25" i="2" s="1"/>
  <c r="O23" i="2"/>
  <c r="S23" i="2" s="1"/>
  <c r="C15" i="2"/>
  <c r="O28" i="2"/>
  <c r="S28" i="2" s="1"/>
  <c r="O27" i="2"/>
  <c r="S27" i="2" s="1"/>
  <c r="O21" i="2"/>
  <c r="S21" i="2" s="1"/>
  <c r="O24" i="2"/>
  <c r="S24" i="2" s="1"/>
  <c r="O22" i="2"/>
  <c r="S22" i="2" s="1"/>
  <c r="O28" i="1"/>
  <c r="S28" i="1" s="1"/>
  <c r="C15" i="1"/>
  <c r="O27" i="1"/>
  <c r="S27" i="1" s="1"/>
  <c r="O22" i="1"/>
  <c r="S22" i="1" s="1"/>
  <c r="O23" i="1"/>
  <c r="S23" i="1" s="1"/>
  <c r="O21" i="1"/>
  <c r="S21" i="1" s="1"/>
  <c r="O25" i="1"/>
  <c r="S25" i="1" s="1"/>
  <c r="O26" i="1"/>
  <c r="S26" i="1" s="1"/>
  <c r="O24" i="1"/>
  <c r="S24" i="1" s="1"/>
  <c r="E16" i="1" l="1"/>
  <c r="E17" i="1" s="1"/>
  <c r="C18" i="2"/>
  <c r="F18" i="2"/>
  <c r="F19" i="2" s="1"/>
  <c r="C18" i="1"/>
  <c r="S19" i="1"/>
  <c r="S19" i="2"/>
</calcChain>
</file>

<file path=xl/sharedStrings.xml><?xml version="1.0" encoding="utf-8"?>
<sst xmlns="http://schemas.openxmlformats.org/spreadsheetml/2006/main" count="148" uniqueCount="67">
  <si>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</si>
  <si>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</si>
  <si>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</si>
  <si>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</si>
  <si>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</si>
  <si>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</si>
  <si>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</si>
  <si>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</si>
  <si>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</si>
  <si>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</si>
  <si>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</si>
  <si>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</si>
  <si>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</si>
  <si>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</si>
  <si>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</si>
  <si>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</si>
  <si>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</si>
  <si>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</si>
  <si>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</si>
  <si>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</si>
  <si>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</si>
  <si>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</si>
  <si>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</si>
  <si>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</si>
  <si>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</si>
  <si>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</si>
  <si>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</si>
  <si>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</si>
  <si>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</si>
  <si>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</si>
  <si>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</si>
  <si>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</si>
  <si>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</si>
  <si>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</si>
  <si>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</si>
  <si>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</si>
  <si>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</si>
  <si>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</si>
  <si>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</si>
  <si>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</si>
  <si>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</si>
  <si>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</si>
  <si>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</si>
  <si>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G5509-0447</t>
  </si>
  <si>
    <t>G5509-0447_Crt.xls</t>
  </si>
  <si>
    <t>EAEB</t>
  </si>
  <si>
    <t>Crt</t>
  </si>
  <si>
    <t>VSX</t>
  </si>
  <si>
    <t>IBVS 5992</t>
  </si>
  <si>
    <t>I</t>
  </si>
  <si>
    <t>IBVS 6029</t>
  </si>
  <si>
    <t>ToMcat</t>
  </si>
  <si>
    <t>This is a better period</t>
  </si>
  <si>
    <t>BD Crt / GSC 5509-0447</t>
  </si>
  <si>
    <t>VSB 069</t>
  </si>
  <si>
    <t>Ic</t>
  </si>
  <si>
    <t>V</t>
  </si>
  <si>
    <t>B</t>
  </si>
  <si>
    <t>pg</t>
  </si>
  <si>
    <t>vis</t>
  </si>
  <si>
    <t>PE</t>
  </si>
  <si>
    <t>CCD</t>
  </si>
  <si>
    <t>My local time &gt;&gt;&gt;&gt;&gt;&gt;&gt;&gt;</t>
  </si>
  <si>
    <t>JBAV, 63</t>
  </si>
  <si>
    <t>II</t>
  </si>
  <si>
    <t>VSB, 108</t>
  </si>
  <si>
    <t>EA/EB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</si>
</sst>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3" borderId="0" xfId="0" applyFill="1" applyAlignment="1"/>
    <xf numFmtId="0" fontId="0" fillId="4" borderId="0" xfId="0" applyFill="1" applyAlignment="1"/>
    <xf numFmtId="0" fontId="6" fillId="0" borderId="0" xfId="0" applyFont="1" applyAlignment="1"/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165" fontId="20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5509-0447 -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B-4072-96BF-E9FC4561084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-5.6420999891997781E-2</c:v>
                </c:pt>
                <c:pt idx="2">
                  <c:v>-1.0481499892193824E-2</c:v>
                </c:pt>
                <c:pt idx="3">
                  <c:v>-3.8640499893517699E-2</c:v>
                </c:pt>
                <c:pt idx="4">
                  <c:v>2.8988000114622992E-2</c:v>
                </c:pt>
                <c:pt idx="5">
                  <c:v>2.2094500105595216E-2</c:v>
                </c:pt>
                <c:pt idx="6">
                  <c:v>2.2694500104989856E-2</c:v>
                </c:pt>
                <c:pt idx="7">
                  <c:v>2.409450010600267E-2</c:v>
                </c:pt>
                <c:pt idx="8">
                  <c:v>1.2805001024389639E-3</c:v>
                </c:pt>
                <c:pt idx="9">
                  <c:v>8.1545001303311437E-3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FB-4072-96BF-E9FC4561084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FB-4072-96BF-E9FC4561084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FB-4072-96BF-E9FC4561084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FB-4072-96BF-E9FC4561084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FB-4072-96BF-E9FC4561084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FB-4072-96BF-E9FC4561084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-1.3449196991308171E-2</c:v>
                </c:pt>
                <c:pt idx="1">
                  <c:v>-1.2634414684872461E-4</c:v>
                </c:pt>
                <c:pt idx="2">
                  <c:v>-7.2862170140602922E-5</c:v>
                </c:pt>
                <c:pt idx="3">
                  <c:v>2.0038835753729244E-4</c:v>
                </c:pt>
                <c:pt idx="4">
                  <c:v>2.5318319964102651E-4</c:v>
                </c:pt>
                <c:pt idx="5">
                  <c:v>2.7095748878904688E-3</c:v>
                </c:pt>
                <c:pt idx="6">
                  <c:v>2.7095748878904688E-3</c:v>
                </c:pt>
                <c:pt idx="7">
                  <c:v>2.7095748878904688E-3</c:v>
                </c:pt>
                <c:pt idx="8">
                  <c:v>3.4145749919915272E-3</c:v>
                </c:pt>
                <c:pt idx="9">
                  <c:v>3.4150330817277821E-3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FB-4072-96BF-E9FC4561084A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  <c:pt idx="9">
                  <c:v>73628.5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FB-4072-96BF-E9FC45610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91784"/>
        <c:axId val="1"/>
      </c:scatterChart>
      <c:valAx>
        <c:axId val="53479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9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Crt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4-4047-BD1D-172193CFBEE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4-4047-BD1D-172193CFBEE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4-4047-BD1D-172193CFBEE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">
                  <c:v>0.18034000010811724</c:v>
                </c:pt>
                <c:pt idx="2">
                  <c:v>0.1786500001035165</c:v>
                </c:pt>
                <c:pt idx="3">
                  <c:v>0.18242000010650372</c:v>
                </c:pt>
                <c:pt idx="4">
                  <c:v>0.17968000011023832</c:v>
                </c:pt>
                <c:pt idx="5">
                  <c:v>0.2374100001034094</c:v>
                </c:pt>
                <c:pt idx="6">
                  <c:v>0.23801000010280404</c:v>
                </c:pt>
                <c:pt idx="7">
                  <c:v>0.23941000010381686</c:v>
                </c:pt>
                <c:pt idx="8">
                  <c:v>0.35472000010486227</c:v>
                </c:pt>
                <c:pt idx="9">
                  <c:v>0.27436000013403827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4-4047-BD1D-172193CFBEE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4-4047-BD1D-172193CFBEE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4-4047-BD1D-172193CFBEE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4-4047-BD1D-172193CFBEE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-0.26156740852321325</c:v>
                </c:pt>
                <c:pt idx="1">
                  <c:v>0.17052513857282031</c:v>
                </c:pt>
                <c:pt idx="2">
                  <c:v>0.17226105849773576</c:v>
                </c:pt>
                <c:pt idx="3">
                  <c:v>0.1811224751718053</c:v>
                </c:pt>
                <c:pt idx="4">
                  <c:v>0.18283675020987644</c:v>
                </c:pt>
                <c:pt idx="5">
                  <c:v>0.26250292072912529</c:v>
                </c:pt>
                <c:pt idx="6">
                  <c:v>0.26250292072912529</c:v>
                </c:pt>
                <c:pt idx="7">
                  <c:v>0.26250292072912529</c:v>
                </c:pt>
                <c:pt idx="8">
                  <c:v>0.28536425021410883</c:v>
                </c:pt>
                <c:pt idx="9">
                  <c:v>0.28538156612358434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4-4047-BD1D-172193CFBEE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14-4047-BD1D-172193CFB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804576"/>
        <c:axId val="1"/>
      </c:scatterChart>
      <c:valAx>
        <c:axId val="53480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804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47625</xdr:rowOff>
    </xdr:from>
    <xdr:to>
      <xdr:col>17</xdr:col>
      <xdr:colOff>647700</xdr:colOff>
      <xdr:row>19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A71A5-DFA5-0D44-AC84-D489DD840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8F6401F-6E2D-FD12-153E-AA75CAB72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6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44</v>
      </c>
    </row>
    <row r="2" spans="1:7" x14ac:dyDescent="0.2">
      <c r="A2" t="s">
        <v>24</v>
      </c>
      <c r="B2" s="46" t="s">
        <v>66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5" spans="1:7" x14ac:dyDescent="0.2">
      <c r="A5" s="46" t="s">
        <v>62</v>
      </c>
      <c r="C5" s="47">
        <v>-9.5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40274.246499999892</v>
      </c>
      <c r="D7" s="30" t="s">
        <v>47</v>
      </c>
    </row>
    <row r="8" spans="1:7" x14ac:dyDescent="0.2">
      <c r="A8" t="s">
        <v>3</v>
      </c>
      <c r="C8" s="8">
        <v>0.26356299999999999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-1.3449196991308171E-2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2.2904486812899835E-7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60177.732081828704</v>
      </c>
    </row>
    <row r="15" spans="1:7" x14ac:dyDescent="0.2">
      <c r="A15" s="12" t="s">
        <v>17</v>
      </c>
      <c r="B15" s="10"/>
      <c r="C15" s="13">
        <f ca="1">(C7+C11)+(C8+C12)*INT(MAX(F21:F3533))</f>
        <v>59679.866478918448</v>
      </c>
      <c r="D15" s="14" t="s">
        <v>39</v>
      </c>
      <c r="E15" s="15">
        <f ca="1">ROUND(2*(E14-$C$7)/$C$8,0)/2+E13</f>
        <v>75518</v>
      </c>
    </row>
    <row r="16" spans="1:7" x14ac:dyDescent="0.2">
      <c r="A16" s="16" t="s">
        <v>4</v>
      </c>
      <c r="B16" s="10"/>
      <c r="C16" s="17">
        <f ca="1">+C8+C12</f>
        <v>0.26356322904486812</v>
      </c>
      <c r="D16" s="14" t="s">
        <v>40</v>
      </c>
      <c r="E16" s="24">
        <f ca="1">ROUND(2*(E14-$C$15)/$C$16,0)/2+E13</f>
        <v>1890</v>
      </c>
    </row>
    <row r="17" spans="1:19" ht="13.5" thickBot="1" x14ac:dyDescent="0.25">
      <c r="A17" s="14" t="s">
        <v>30</v>
      </c>
      <c r="B17" s="10"/>
      <c r="C17" s="10">
        <f>COUNT(C21:C2191)</f>
        <v>10</v>
      </c>
      <c r="D17" s="14" t="s">
        <v>34</v>
      </c>
      <c r="E17" s="18">
        <f ca="1">+$C$15+$C$16*E16-15018.5-$C$9/24</f>
        <v>45159.896815146582</v>
      </c>
    </row>
    <row r="18" spans="1:19" ht="14.25" thickTop="1" thickBot="1" x14ac:dyDescent="0.25">
      <c r="A18" s="16" t="s">
        <v>5</v>
      </c>
      <c r="B18" s="10"/>
      <c r="C18" s="19">
        <f ca="1">+C15</f>
        <v>59679.866478918448</v>
      </c>
      <c r="D18" s="20">
        <f ca="1">+C16</f>
        <v>0.26356322904486812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2.7992295804035498E-2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40274.246499999892</v>
      </c>
      <c r="D21" s="8" t="s">
        <v>13</v>
      </c>
      <c r="E21">
        <f t="shared" ref="E21:E28" si="0">+(C21-C$7)/C$8</f>
        <v>0</v>
      </c>
      <c r="F21">
        <f t="shared" ref="F21:F29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-1.3449196991308171E-2</v>
      </c>
      <c r="Q21" s="2">
        <f t="shared" ref="Q21:Q28" si="4">+C21-15018.5</f>
        <v>25255.746499999892</v>
      </c>
      <c r="S21">
        <f t="shared" ref="S21:S28" ca="1" si="5">+(O21-G21)^2</f>
        <v>1.8088089971101277E-4</v>
      </c>
    </row>
    <row r="22" spans="1:19" x14ac:dyDescent="0.2">
      <c r="A22" s="33" t="s">
        <v>48</v>
      </c>
      <c r="B22" s="34" t="s">
        <v>49</v>
      </c>
      <c r="C22" s="33">
        <v>55604.859100000001</v>
      </c>
      <c r="D22" s="33">
        <v>4.0000000000000002E-4</v>
      </c>
      <c r="E22">
        <f t="shared" si="0"/>
        <v>58166.785929740174</v>
      </c>
      <c r="F22">
        <f t="shared" si="1"/>
        <v>58167</v>
      </c>
      <c r="G22">
        <f t="shared" si="2"/>
        <v>-5.6420999891997781E-2</v>
      </c>
      <c r="I22">
        <f t="shared" ref="I22:I28" si="6">+G22</f>
        <v>-5.6420999891997781E-2</v>
      </c>
      <c r="O22">
        <f t="shared" ca="1" si="3"/>
        <v>-1.2634414684872461E-4</v>
      </c>
      <c r="Q22" s="2">
        <f t="shared" si="4"/>
        <v>40586.359100000001</v>
      </c>
      <c r="S22">
        <f t="shared" ca="1" si="5"/>
        <v>3.1690882654648433E-3</v>
      </c>
    </row>
    <row r="23" spans="1:19" x14ac:dyDescent="0.2">
      <c r="A23" s="33" t="s">
        <v>48</v>
      </c>
      <c r="B23" s="34" t="s">
        <v>49</v>
      </c>
      <c r="C23" s="33">
        <v>55666.447</v>
      </c>
      <c r="D23" s="33">
        <v>5.9999999999999995E-4</v>
      </c>
      <c r="E23">
        <f t="shared" si="0"/>
        <v>58400.46023152001</v>
      </c>
      <c r="F23">
        <f t="shared" si="1"/>
        <v>58400.5</v>
      </c>
      <c r="G23">
        <f t="shared" si="2"/>
        <v>-1.0481499892193824E-2</v>
      </c>
      <c r="I23">
        <f t="shared" si="6"/>
        <v>-1.0481499892193824E-2</v>
      </c>
      <c r="O23">
        <f t="shared" ca="1" si="3"/>
        <v>-7.2862170140602922E-5</v>
      </c>
      <c r="Q23" s="2">
        <f t="shared" si="4"/>
        <v>40647.947</v>
      </c>
      <c r="S23">
        <f t="shared" ca="1" si="5"/>
        <v>1.0833973922894927E-4</v>
      </c>
    </row>
    <row r="24" spans="1:19" x14ac:dyDescent="0.2">
      <c r="A24" s="35" t="s">
        <v>50</v>
      </c>
      <c r="B24" s="36" t="s">
        <v>49</v>
      </c>
      <c r="C24" s="35">
        <v>55980.849499999997</v>
      </c>
      <c r="D24" s="35">
        <v>2.9999999999999997E-4</v>
      </c>
      <c r="E24">
        <f t="shared" si="0"/>
        <v>59593.353391789082</v>
      </c>
      <c r="F24">
        <f t="shared" si="1"/>
        <v>59593.5</v>
      </c>
      <c r="G24">
        <f t="shared" si="2"/>
        <v>-3.8640499893517699E-2</v>
      </c>
      <c r="I24">
        <f t="shared" si="6"/>
        <v>-3.8640499893517699E-2</v>
      </c>
      <c r="O24">
        <f t="shared" ca="1" si="3"/>
        <v>2.0038835753729244E-4</v>
      </c>
      <c r="Q24" s="2">
        <f t="shared" si="4"/>
        <v>40962.349499999997</v>
      </c>
      <c r="S24">
        <f t="shared" ca="1" si="5"/>
        <v>1.5086146001309418E-3</v>
      </c>
    </row>
    <row r="25" spans="1:19" x14ac:dyDescent="0.2">
      <c r="A25" s="35" t="s">
        <v>50</v>
      </c>
      <c r="B25" s="36" t="s">
        <v>49</v>
      </c>
      <c r="C25" s="35">
        <v>56041.668400000002</v>
      </c>
      <c r="D25" s="35">
        <v>6.9999999999999999E-4</v>
      </c>
      <c r="E25">
        <f t="shared" si="0"/>
        <v>59824.109985089373</v>
      </c>
      <c r="F25">
        <f t="shared" si="1"/>
        <v>59824</v>
      </c>
      <c r="G25">
        <f t="shared" si="2"/>
        <v>2.8988000114622992E-2</v>
      </c>
      <c r="I25">
        <f t="shared" si="6"/>
        <v>2.8988000114622992E-2</v>
      </c>
      <c r="O25">
        <f t="shared" ca="1" si="3"/>
        <v>2.5318319964102651E-4</v>
      </c>
      <c r="Q25" s="2">
        <f t="shared" si="4"/>
        <v>41023.168400000002</v>
      </c>
      <c r="S25">
        <f t="shared" ca="1" si="5"/>
        <v>8.2568970313753366E-4</v>
      </c>
    </row>
    <row r="26" spans="1:19" x14ac:dyDescent="0.2">
      <c r="A26" s="41" t="s">
        <v>54</v>
      </c>
      <c r="B26" s="42" t="s">
        <v>49</v>
      </c>
      <c r="C26" s="43">
        <v>58868.242899999997</v>
      </c>
      <c r="D26" s="43" t="s">
        <v>55</v>
      </c>
      <c r="E26">
        <f t="shared" si="0"/>
        <v>70548.583830052419</v>
      </c>
      <c r="F26">
        <f t="shared" si="1"/>
        <v>70548.5</v>
      </c>
      <c r="G26">
        <f t="shared" si="2"/>
        <v>2.2094500105595216E-2</v>
      </c>
      <c r="I26">
        <f t="shared" si="6"/>
        <v>2.2094500105595216E-2</v>
      </c>
      <c r="O26">
        <f t="shared" ca="1" si="3"/>
        <v>2.7095748878904688E-3</v>
      </c>
      <c r="Q26" s="2">
        <f t="shared" si="4"/>
        <v>43849.742899999997</v>
      </c>
      <c r="S26">
        <f t="shared" ca="1" si="5"/>
        <v>3.7577532569600544E-4</v>
      </c>
    </row>
    <row r="27" spans="1:19" x14ac:dyDescent="0.2">
      <c r="A27" s="41" t="s">
        <v>54</v>
      </c>
      <c r="B27" s="42" t="s">
        <v>49</v>
      </c>
      <c r="C27" s="43">
        <v>58868.243499999997</v>
      </c>
      <c r="D27" s="43" t="s">
        <v>56</v>
      </c>
      <c r="E27">
        <f t="shared" si="0"/>
        <v>70548.586106547984</v>
      </c>
      <c r="F27">
        <f t="shared" si="1"/>
        <v>70548.5</v>
      </c>
      <c r="G27">
        <f t="shared" si="2"/>
        <v>2.2694500104989856E-2</v>
      </c>
      <c r="I27">
        <f t="shared" si="6"/>
        <v>2.2694500104989856E-2</v>
      </c>
      <c r="O27">
        <f t="shared" ca="1" si="3"/>
        <v>2.7095748878904688E-3</v>
      </c>
      <c r="Q27" s="2">
        <f t="shared" si="4"/>
        <v>43849.743499999997</v>
      </c>
      <c r="S27">
        <f t="shared" ca="1" si="5"/>
        <v>3.9939723593305501E-4</v>
      </c>
    </row>
    <row r="28" spans="1:19" x14ac:dyDescent="0.2">
      <c r="A28" s="41" t="s">
        <v>54</v>
      </c>
      <c r="B28" s="42" t="s">
        <v>49</v>
      </c>
      <c r="C28" s="43">
        <v>58868.244899999998</v>
      </c>
      <c r="D28" s="43" t="s">
        <v>57</v>
      </c>
      <c r="E28">
        <f t="shared" si="0"/>
        <v>70548.591418370968</v>
      </c>
      <c r="F28">
        <f t="shared" si="1"/>
        <v>70548.5</v>
      </c>
      <c r="G28">
        <f t="shared" si="2"/>
        <v>2.409450010600267E-2</v>
      </c>
      <c r="I28">
        <f t="shared" si="6"/>
        <v>2.409450010600267E-2</v>
      </c>
      <c r="O28">
        <f t="shared" ca="1" si="3"/>
        <v>2.7095748878904688E-3</v>
      </c>
      <c r="Q28" s="2">
        <f t="shared" si="4"/>
        <v>43849.744899999998</v>
      </c>
      <c r="S28">
        <f t="shared" ca="1" si="5"/>
        <v>4.5731502658425115E-4</v>
      </c>
    </row>
    <row r="29" spans="1:19" x14ac:dyDescent="0.2">
      <c r="A29" s="48" t="s">
        <v>63</v>
      </c>
      <c r="B29" s="49" t="s">
        <v>64</v>
      </c>
      <c r="C29" s="50">
        <v>59679.468999999997</v>
      </c>
      <c r="D29" s="48">
        <v>3.0000000000000001E-3</v>
      </c>
      <c r="E29">
        <f t="shared" ref="E29" si="7">+(C29-C$7)/C$8</f>
        <v>73626.504858421351</v>
      </c>
      <c r="F29">
        <f t="shared" si="1"/>
        <v>73626.5</v>
      </c>
      <c r="G29">
        <f t="shared" ref="G29" si="8">+C29-(C$7+F29*C$8)</f>
        <v>1.2805001024389639E-3</v>
      </c>
      <c r="I29">
        <f t="shared" ref="I29" si="9">+G29</f>
        <v>1.2805001024389639E-3</v>
      </c>
      <c r="O29">
        <f t="shared" ref="O29" ca="1" si="10">+C$11+C$12*$F29</f>
        <v>3.4145749919915272E-3</v>
      </c>
      <c r="Q29" s="2">
        <f t="shared" ref="Q29" si="11">+C29-15018.5</f>
        <v>44660.968999999997</v>
      </c>
      <c r="S29">
        <f t="shared" ref="S29" ca="1" si="12">+(O29-G29)^2</f>
        <v>4.5542756342187853E-6</v>
      </c>
    </row>
    <row r="30" spans="1:19" x14ac:dyDescent="0.2">
      <c r="A30" s="51" t="s">
        <v>65</v>
      </c>
      <c r="B30" s="52" t="s">
        <v>49</v>
      </c>
      <c r="C30" s="53">
        <v>59680.003000000026</v>
      </c>
      <c r="D30" s="8"/>
      <c r="E30">
        <f t="shared" ref="E30" si="13">+(C30-C$7)/C$8</f>
        <v>73628.530939472286</v>
      </c>
      <c r="F30">
        <f t="shared" ref="F30" si="14">ROUND(2*E30,0)/2</f>
        <v>73628.5</v>
      </c>
      <c r="G30">
        <f t="shared" ref="G30" si="15">+C30-(C$7+F30*C$8)</f>
        <v>8.1545001303311437E-3</v>
      </c>
      <c r="I30">
        <f t="shared" ref="I30" si="16">+G30</f>
        <v>8.1545001303311437E-3</v>
      </c>
      <c r="O30">
        <f t="shared" ref="O30" ca="1" si="17">+C$11+C$12*$F30</f>
        <v>3.4150330817277821E-3</v>
      </c>
      <c r="Q30" s="2">
        <f t="shared" ref="Q30" si="18">+C30-15018.5</f>
        <v>44661.503000000026</v>
      </c>
      <c r="S30">
        <f t="shared" ref="S30" ca="1" si="19">+(O30-G30)^2</f>
        <v>2.2462547904797059E-5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6940"/>
  <sheetViews>
    <sheetView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  <c r="E1" t="s">
        <v>44</v>
      </c>
    </row>
    <row r="2" spans="1:6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8" t="s">
        <v>41</v>
      </c>
      <c r="D4" s="29" t="s">
        <v>41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6" x14ac:dyDescent="0.2">
      <c r="A6" s="5" t="s">
        <v>1</v>
      </c>
      <c r="C6" t="s">
        <v>52</v>
      </c>
    </row>
    <row r="7" spans="1:6" x14ac:dyDescent="0.2">
      <c r="A7" t="s">
        <v>2</v>
      </c>
      <c r="C7" s="8">
        <v>40274.246499999892</v>
      </c>
      <c r="D7" s="30" t="s">
        <v>47</v>
      </c>
    </row>
    <row r="8" spans="1:6" x14ac:dyDescent="0.2">
      <c r="A8" t="s">
        <v>3</v>
      </c>
      <c r="C8" s="8">
        <v>0.30718000000000001</v>
      </c>
      <c r="D8" s="30" t="s">
        <v>51</v>
      </c>
    </row>
    <row r="9" spans="1:6" x14ac:dyDescent="0.2">
      <c r="A9" s="25" t="s">
        <v>36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2">
        <f ca="1">INTERCEPT(INDIRECT($D$9):G992,INDIRECT($C$9):F992)</f>
        <v>-0.26156740852321325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SLOPE(INDIRECT($D$9):G992,INDIRECT($C$9):F992)</f>
        <v>8.6579547377328541E-6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59680.014021566021</v>
      </c>
      <c r="E15" s="14" t="s">
        <v>38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0.30718865795473776</v>
      </c>
      <c r="E16" s="14" t="s">
        <v>33</v>
      </c>
      <c r="F16" s="15">
        <f ca="1">NOW()+15018.5+$C$5/24</f>
        <v>60177.732081828704</v>
      </c>
    </row>
    <row r="17" spans="1:19" ht="13.5" thickBot="1" x14ac:dyDescent="0.25">
      <c r="A17" s="14" t="s">
        <v>30</v>
      </c>
      <c r="B17" s="10"/>
      <c r="C17" s="10">
        <f>COUNT(C21:C2191)</f>
        <v>10</v>
      </c>
      <c r="E17" s="14" t="s">
        <v>39</v>
      </c>
      <c r="F17" s="15">
        <f ca="1">ROUND(2*(F16-$C$7)/$C$8,0)/2+F15</f>
        <v>64795</v>
      </c>
    </row>
    <row r="18" spans="1:19" ht="14.25" thickTop="1" thickBot="1" x14ac:dyDescent="0.25">
      <c r="A18" s="16" t="s">
        <v>5</v>
      </c>
      <c r="B18" s="10"/>
      <c r="C18" s="19">
        <f ca="1">+C15</f>
        <v>59680.014021566021</v>
      </c>
      <c r="D18" s="20">
        <f ca="1">+C16</f>
        <v>0.30718865795473776</v>
      </c>
      <c r="E18" s="14" t="s">
        <v>40</v>
      </c>
      <c r="F18" s="24">
        <f ca="1">ROUND(2*(F16-$C$15)/$C$16,0)/2+F15</f>
        <v>1621</v>
      </c>
    </row>
    <row r="19" spans="1:19" ht="13.5" thickTop="1" x14ac:dyDescent="0.2">
      <c r="E19" s="14" t="s">
        <v>34</v>
      </c>
      <c r="F19" s="18">
        <f ca="1">+$C$15+$C$16*F18-15018.5-$C$5/24</f>
        <v>45159.862669443988</v>
      </c>
      <c r="S19">
        <f ca="1">SQRT(SUM(S21:S50)/(COUNT(S21:S50)-1))</f>
        <v>9.144569954933765E-2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59</v>
      </c>
      <c r="J20" s="7" t="s">
        <v>60</v>
      </c>
      <c r="K20" s="7" t="s">
        <v>61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40274.246499999892</v>
      </c>
      <c r="D21" s="8" t="s">
        <v>13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J21">
        <f>+G21</f>
        <v>0</v>
      </c>
      <c r="O21">
        <f t="shared" ref="O21:O28" ca="1" si="2">+C$11+C$12*$F21</f>
        <v>-0.26156740852321325</v>
      </c>
      <c r="Q21" s="2">
        <f t="shared" ref="Q21:Q28" si="3">+C21-15018.5</f>
        <v>25255.746499999892</v>
      </c>
      <c r="S21">
        <f ca="1">+(O21-G21)^2</f>
        <v>6.8417509201549528E-2</v>
      </c>
    </row>
    <row r="22" spans="1:19" x14ac:dyDescent="0.2">
      <c r="A22" s="37" t="s">
        <v>48</v>
      </c>
      <c r="B22" s="38" t="s">
        <v>49</v>
      </c>
      <c r="C22" s="37">
        <v>55604.859100000001</v>
      </c>
      <c r="D22" s="37">
        <v>4.0000000000000002E-4</v>
      </c>
      <c r="E22">
        <f t="shared" si="0"/>
        <v>49907.587082492704</v>
      </c>
      <c r="F22" s="45">
        <f>ROUND(2*E22,0)/2-0.5</f>
        <v>49907</v>
      </c>
      <c r="G22">
        <f t="shared" si="1"/>
        <v>0.18034000010811724</v>
      </c>
      <c r="K22">
        <f t="shared" ref="K22:K28" si="4">+G22</f>
        <v>0.18034000010811724</v>
      </c>
      <c r="O22">
        <f t="shared" ca="1" si="2"/>
        <v>0.17052513857282031</v>
      </c>
      <c r="Q22" s="2">
        <f t="shared" si="3"/>
        <v>40586.359100000001</v>
      </c>
      <c r="S22">
        <f ca="1">+(O22-G22)^2</f>
        <v>9.6331506957051137E-5</v>
      </c>
    </row>
    <row r="23" spans="1:19" x14ac:dyDescent="0.2">
      <c r="A23" s="37" t="s">
        <v>48</v>
      </c>
      <c r="B23" s="38" t="s">
        <v>49</v>
      </c>
      <c r="C23" s="37">
        <v>55666.447</v>
      </c>
      <c r="D23" s="37">
        <v>5.9999999999999995E-4</v>
      </c>
      <c r="E23">
        <f t="shared" si="0"/>
        <v>50108.081580832433</v>
      </c>
      <c r="F23" s="45">
        <f>ROUND(2*E23,0)/2-0.5</f>
        <v>50107.5</v>
      </c>
      <c r="G23">
        <f t="shared" si="1"/>
        <v>0.1786500001035165</v>
      </c>
      <c r="K23">
        <f t="shared" si="4"/>
        <v>0.1786500001035165</v>
      </c>
      <c r="O23">
        <f t="shared" ca="1" si="2"/>
        <v>0.17226105849773576</v>
      </c>
      <c r="Q23" s="2">
        <f t="shared" si="3"/>
        <v>40647.947</v>
      </c>
      <c r="S23">
        <f ca="1">+(O23-G23)^2</f>
        <v>4.0818574842076183E-5</v>
      </c>
    </row>
    <row r="24" spans="1:19" x14ac:dyDescent="0.2">
      <c r="A24" s="39" t="s">
        <v>50</v>
      </c>
      <c r="B24" s="40" t="s">
        <v>49</v>
      </c>
      <c r="C24" s="39">
        <v>55980.849499999997</v>
      </c>
      <c r="D24" s="39">
        <v>2.9999999999999997E-4</v>
      </c>
      <c r="E24">
        <f t="shared" si="0"/>
        <v>51131.593853766863</v>
      </c>
      <c r="F24" s="45">
        <f>ROUND(2*E24,0)/2-0.5</f>
        <v>51131</v>
      </c>
      <c r="G24">
        <f t="shared" si="1"/>
        <v>0.18242000010650372</v>
      </c>
      <c r="K24">
        <f t="shared" si="4"/>
        <v>0.18242000010650372</v>
      </c>
      <c r="O24">
        <f t="shared" ca="1" si="2"/>
        <v>0.1811224751718053</v>
      </c>
      <c r="Q24" s="2">
        <f t="shared" si="3"/>
        <v>40962.349499999997</v>
      </c>
      <c r="S24">
        <f ca="1">+(O24-G24)^2</f>
        <v>1.6835709561641499E-6</v>
      </c>
    </row>
    <row r="25" spans="1:19" x14ac:dyDescent="0.2">
      <c r="A25" s="39" t="s">
        <v>50</v>
      </c>
      <c r="B25" s="40" t="s">
        <v>49</v>
      </c>
      <c r="C25" s="39">
        <v>56041.668400000002</v>
      </c>
      <c r="D25" s="39">
        <v>6.9999999999999999E-4</v>
      </c>
      <c r="E25">
        <f t="shared" si="0"/>
        <v>51329.584933915328</v>
      </c>
      <c r="F25" s="45">
        <f>ROUND(2*E25,0)/2-0.5</f>
        <v>51329</v>
      </c>
      <c r="G25">
        <f t="shared" si="1"/>
        <v>0.17968000011023832</v>
      </c>
      <c r="K25">
        <f t="shared" si="4"/>
        <v>0.17968000011023832</v>
      </c>
      <c r="O25">
        <f t="shared" ca="1" si="2"/>
        <v>0.18283675020987644</v>
      </c>
      <c r="Q25" s="2">
        <f t="shared" si="3"/>
        <v>41023.168400000002</v>
      </c>
      <c r="S25">
        <f ca="1">+(O25-G25)^2</f>
        <v>9.9650711915652622E-6</v>
      </c>
    </row>
    <row r="26" spans="1:19" x14ac:dyDescent="0.2">
      <c r="A26" s="41" t="s">
        <v>54</v>
      </c>
      <c r="B26" s="42" t="s">
        <v>49</v>
      </c>
      <c r="C26" s="43">
        <v>58868.242899999997</v>
      </c>
      <c r="D26" s="43" t="s">
        <v>55</v>
      </c>
      <c r="E26">
        <f t="shared" si="0"/>
        <v>60531.272869327775</v>
      </c>
      <c r="F26" s="44">
        <f>ROUND(2*E26,0)/2-1</f>
        <v>60530.5</v>
      </c>
      <c r="G26">
        <f t="shared" si="1"/>
        <v>0.2374100001034094</v>
      </c>
      <c r="K26">
        <f t="shared" si="4"/>
        <v>0.2374100001034094</v>
      </c>
      <c r="O26">
        <f t="shared" ca="1" si="2"/>
        <v>0.26250292072912529</v>
      </c>
      <c r="Q26" s="2">
        <f t="shared" si="3"/>
        <v>43849.742899999997</v>
      </c>
      <c r="S26">
        <f t="shared" ref="S26:S29" ca="1" si="5">+(O26-G26)^2</f>
        <v>6.2965466552847781E-4</v>
      </c>
    </row>
    <row r="27" spans="1:19" x14ac:dyDescent="0.2">
      <c r="A27" s="41" t="s">
        <v>54</v>
      </c>
      <c r="B27" s="42" t="s">
        <v>49</v>
      </c>
      <c r="C27" s="43">
        <v>58868.243499999997</v>
      </c>
      <c r="D27" s="43" t="s">
        <v>56</v>
      </c>
      <c r="E27">
        <f t="shared" si="0"/>
        <v>60531.274822579937</v>
      </c>
      <c r="F27" s="44">
        <f>ROUND(2*E27,0)/2-1</f>
        <v>60530.5</v>
      </c>
      <c r="G27">
        <f t="shared" si="1"/>
        <v>0.23801000010280404</v>
      </c>
      <c r="K27">
        <f t="shared" si="4"/>
        <v>0.23801000010280404</v>
      </c>
      <c r="O27">
        <f t="shared" ca="1" si="2"/>
        <v>0.26250292072912529</v>
      </c>
      <c r="Q27" s="2">
        <f t="shared" si="3"/>
        <v>43849.743499999997</v>
      </c>
      <c r="S27">
        <f t="shared" ca="1" si="5"/>
        <v>5.9990316080727271E-4</v>
      </c>
    </row>
    <row r="28" spans="1:19" x14ac:dyDescent="0.2">
      <c r="A28" s="41" t="s">
        <v>54</v>
      </c>
      <c r="B28" s="42" t="s">
        <v>49</v>
      </c>
      <c r="C28" s="43">
        <v>58868.244899999998</v>
      </c>
      <c r="D28" s="43" t="s">
        <v>57</v>
      </c>
      <c r="E28">
        <f t="shared" si="0"/>
        <v>60531.279380168322</v>
      </c>
      <c r="F28" s="44">
        <f>ROUND(2*E28,0)/2-1</f>
        <v>60530.5</v>
      </c>
      <c r="G28">
        <f t="shared" si="1"/>
        <v>0.23941000010381686</v>
      </c>
      <c r="K28">
        <f t="shared" si="4"/>
        <v>0.23941000010381686</v>
      </c>
      <c r="O28">
        <f t="shared" ca="1" si="2"/>
        <v>0.26250292072912529</v>
      </c>
      <c r="Q28" s="2">
        <f t="shared" si="3"/>
        <v>43849.744899999998</v>
      </c>
      <c r="S28">
        <f t="shared" ca="1" si="5"/>
        <v>5.3328298300679559E-4</v>
      </c>
    </row>
    <row r="29" spans="1:19" x14ac:dyDescent="0.2">
      <c r="A29" s="48" t="s">
        <v>63</v>
      </c>
      <c r="B29" s="49" t="s">
        <v>64</v>
      </c>
      <c r="C29" s="50">
        <v>59679.468999999997</v>
      </c>
      <c r="D29" s="48">
        <v>3.0000000000000001E-3</v>
      </c>
      <c r="E29">
        <f t="shared" ref="E29" si="6">+(C29-C$7)/C$8</f>
        <v>63172.154762680206</v>
      </c>
      <c r="F29" s="44">
        <f>ROUND(2*E29,0)/2-1</f>
        <v>63171</v>
      </c>
      <c r="G29">
        <f t="shared" ref="G29" si="7">+C29-(C$7+F29*C$8)</f>
        <v>0.35472000010486227</v>
      </c>
      <c r="K29">
        <f t="shared" ref="K29" si="8">+G29</f>
        <v>0.35472000010486227</v>
      </c>
      <c r="O29">
        <f t="shared" ref="O29" ca="1" si="9">+C$11+C$12*$F29</f>
        <v>0.28536425021410883</v>
      </c>
      <c r="Q29" s="2">
        <f t="shared" ref="Q29" si="10">+C29-15018.5</f>
        <v>44660.968999999997</v>
      </c>
      <c r="S29">
        <f t="shared" ca="1" si="5"/>
        <v>4.8102200429087456E-3</v>
      </c>
    </row>
    <row r="30" spans="1:19" x14ac:dyDescent="0.2">
      <c r="A30" s="51" t="s">
        <v>65</v>
      </c>
      <c r="B30" s="52" t="s">
        <v>49</v>
      </c>
      <c r="C30" s="53">
        <v>59680.003000000026</v>
      </c>
      <c r="D30" s="8"/>
      <c r="E30">
        <f t="shared" ref="E30" si="11">+(C30-C$7)/C$8</f>
        <v>63173.893157107021</v>
      </c>
      <c r="F30" s="44">
        <f>ROUND(2*E30,0)/2-1</f>
        <v>63173</v>
      </c>
      <c r="G30">
        <f t="shared" ref="G30" si="12">+C30-(C$7+F30*C$8)</f>
        <v>0.27436000013403827</v>
      </c>
      <c r="K30">
        <f t="shared" ref="K30" si="13">+G30</f>
        <v>0.27436000013403827</v>
      </c>
      <c r="O30">
        <f t="shared" ref="O30" ca="1" si="14">+C$11+C$12*$F30</f>
        <v>0.28538156612358434</v>
      </c>
      <c r="Q30" s="2">
        <f t="shared" ref="Q30" si="15">+C30-15018.5</f>
        <v>44661.503000000026</v>
      </c>
      <c r="S30">
        <f t="shared" ref="S30" ca="1" si="16">+(O30-G30)^2</f>
        <v>1.2147491686191858E-4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2023-08-21T05:34:11Z</dcterms:modified>
</cp:coreProperties>
</file>