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59D4404-8767-4DA9-BE06-FABDBA1516A4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96" i="2" l="1"/>
  <c r="F96" i="2"/>
  <c r="G96" i="2" s="1"/>
  <c r="K96" i="2" s="1"/>
  <c r="Q96" i="2"/>
  <c r="E93" i="2"/>
  <c r="F93" i="2"/>
  <c r="G93" i="2"/>
  <c r="K93" i="2"/>
  <c r="Q93" i="2"/>
  <c r="E94" i="2"/>
  <c r="F94" i="2"/>
  <c r="G94" i="2"/>
  <c r="K94" i="2"/>
  <c r="Q94" i="2"/>
  <c r="E95" i="2"/>
  <c r="F95" i="2"/>
  <c r="G95" i="2"/>
  <c r="K95" i="2"/>
  <c r="Q95" i="2"/>
  <c r="Q82" i="2"/>
  <c r="C7" i="2"/>
  <c r="E82" i="2"/>
  <c r="F82" i="2"/>
  <c r="G82" i="2"/>
  <c r="I82" i="2"/>
  <c r="Q57" i="2"/>
  <c r="E57" i="2"/>
  <c r="F57" i="2"/>
  <c r="G57" i="2"/>
  <c r="K57" i="2"/>
  <c r="Q55" i="2"/>
  <c r="E55" i="2"/>
  <c r="F55" i="2"/>
  <c r="G55" i="2"/>
  <c r="K55" i="2"/>
  <c r="Q50" i="2"/>
  <c r="E50" i="2"/>
  <c r="F50" i="2"/>
  <c r="G50" i="2"/>
  <c r="Q48" i="2"/>
  <c r="E48" i="2"/>
  <c r="F48" i="2"/>
  <c r="G48" i="2"/>
  <c r="Q45" i="2"/>
  <c r="E45" i="2"/>
  <c r="F45" i="2"/>
  <c r="G45" i="2"/>
  <c r="Q43" i="2"/>
  <c r="E43" i="2"/>
  <c r="F43" i="2"/>
  <c r="G43" i="2"/>
  <c r="I43" i="2"/>
  <c r="Q37" i="2"/>
  <c r="E37" i="2"/>
  <c r="F37" i="2"/>
  <c r="G37" i="2"/>
  <c r="I37" i="2"/>
  <c r="Q36" i="2"/>
  <c r="E36" i="2"/>
  <c r="F36" i="2"/>
  <c r="G36" i="2"/>
  <c r="I36" i="2"/>
  <c r="Q35" i="2"/>
  <c r="E35" i="2"/>
  <c r="F35" i="2"/>
  <c r="G35" i="2"/>
  <c r="I35" i="2"/>
  <c r="Q34" i="2"/>
  <c r="E34" i="2"/>
  <c r="F34" i="2"/>
  <c r="G34" i="2"/>
  <c r="I34" i="2"/>
  <c r="Q32" i="2"/>
  <c r="E32" i="2"/>
  <c r="F32" i="2"/>
  <c r="G32" i="2"/>
  <c r="I32" i="2"/>
  <c r="Q31" i="2"/>
  <c r="E31" i="2"/>
  <c r="F31" i="2"/>
  <c r="G31" i="2"/>
  <c r="I31" i="2"/>
  <c r="Q30" i="2"/>
  <c r="E30" i="2"/>
  <c r="F30" i="2"/>
  <c r="G30" i="2"/>
  <c r="I30" i="2"/>
  <c r="Q29" i="2"/>
  <c r="E29" i="2"/>
  <c r="F29" i="2"/>
  <c r="G29" i="2"/>
  <c r="I29" i="2"/>
  <c r="Q28" i="2"/>
  <c r="E28" i="2"/>
  <c r="F28" i="2"/>
  <c r="G28" i="2"/>
  <c r="I28" i="2"/>
  <c r="Q27" i="2"/>
  <c r="E27" i="2"/>
  <c r="F27" i="2"/>
  <c r="G27" i="2"/>
  <c r="I27" i="2"/>
  <c r="Q26" i="2"/>
  <c r="E26" i="2"/>
  <c r="F26" i="2"/>
  <c r="G26" i="2"/>
  <c r="I26" i="2"/>
  <c r="Q25" i="2"/>
  <c r="E25" i="2"/>
  <c r="F25" i="2"/>
  <c r="G25" i="2"/>
  <c r="I25" i="2"/>
  <c r="Q24" i="2"/>
  <c r="E24" i="2"/>
  <c r="F24" i="2"/>
  <c r="G24" i="2"/>
  <c r="I24" i="2"/>
  <c r="Q23" i="2"/>
  <c r="E23" i="2"/>
  <c r="F23" i="2"/>
  <c r="G23" i="2"/>
  <c r="I23" i="2"/>
  <c r="G43" i="3"/>
  <c r="C43" i="3"/>
  <c r="E43" i="3"/>
  <c r="E89" i="2"/>
  <c r="G42" i="3"/>
  <c r="C42" i="3"/>
  <c r="E88" i="2"/>
  <c r="G41" i="3"/>
  <c r="C41" i="3"/>
  <c r="E41" i="3"/>
  <c r="E87" i="2"/>
  <c r="G40" i="3"/>
  <c r="C40" i="3"/>
  <c r="E86" i="2"/>
  <c r="G39" i="3"/>
  <c r="C39" i="3"/>
  <c r="E39" i="3"/>
  <c r="E85" i="2"/>
  <c r="G38" i="3"/>
  <c r="C38" i="3"/>
  <c r="E84" i="2"/>
  <c r="G37" i="3"/>
  <c r="C37" i="3"/>
  <c r="E37" i="3"/>
  <c r="E83" i="2"/>
  <c r="G73" i="3"/>
  <c r="C73" i="3"/>
  <c r="E73" i="3"/>
  <c r="G36" i="3"/>
  <c r="C36" i="3"/>
  <c r="E36" i="3"/>
  <c r="E81" i="2"/>
  <c r="G35" i="3"/>
  <c r="C35" i="3"/>
  <c r="E80" i="2"/>
  <c r="E35" i="3"/>
  <c r="G34" i="3"/>
  <c r="C34" i="3"/>
  <c r="E34" i="3"/>
  <c r="E79" i="2"/>
  <c r="G72" i="3"/>
  <c r="C72" i="3"/>
  <c r="E72" i="3"/>
  <c r="G71" i="3"/>
  <c r="C71" i="3"/>
  <c r="E71" i="3"/>
  <c r="G70" i="3"/>
  <c r="C70" i="3"/>
  <c r="E70" i="3"/>
  <c r="G33" i="3"/>
  <c r="C33" i="3"/>
  <c r="E75" i="2"/>
  <c r="E33" i="3"/>
  <c r="G69" i="3"/>
  <c r="C69" i="3"/>
  <c r="E69" i="3"/>
  <c r="G32" i="3"/>
  <c r="C32" i="3"/>
  <c r="E73" i="2"/>
  <c r="F73" i="2"/>
  <c r="E32" i="3"/>
  <c r="G31" i="3"/>
  <c r="C31" i="3"/>
  <c r="E31" i="3"/>
  <c r="E72" i="2"/>
  <c r="G30" i="3"/>
  <c r="C30" i="3"/>
  <c r="E71" i="2"/>
  <c r="E30" i="3"/>
  <c r="G29" i="3"/>
  <c r="C29" i="3"/>
  <c r="E29" i="3"/>
  <c r="E70" i="2"/>
  <c r="G28" i="3"/>
  <c r="C28" i="3"/>
  <c r="E69" i="2"/>
  <c r="E28" i="3"/>
  <c r="G27" i="3"/>
  <c r="C27" i="3"/>
  <c r="E27" i="3"/>
  <c r="E68" i="2"/>
  <c r="G26" i="3"/>
  <c r="C26" i="3"/>
  <c r="E67" i="2"/>
  <c r="E26" i="3"/>
  <c r="G25" i="3"/>
  <c r="C25" i="3"/>
  <c r="E25" i="3"/>
  <c r="E66" i="2"/>
  <c r="G24" i="3"/>
  <c r="C24" i="3"/>
  <c r="E65" i="2"/>
  <c r="E24" i="3"/>
  <c r="G23" i="3"/>
  <c r="C23" i="3"/>
  <c r="E23" i="3"/>
  <c r="E64" i="2"/>
  <c r="G68" i="3"/>
  <c r="C68" i="3"/>
  <c r="E68" i="3"/>
  <c r="G22" i="3"/>
  <c r="C22" i="3"/>
  <c r="E22" i="3"/>
  <c r="E62" i="2"/>
  <c r="F62" i="2"/>
  <c r="G21" i="3"/>
  <c r="C21" i="3"/>
  <c r="E61" i="2"/>
  <c r="E21" i="3"/>
  <c r="G67" i="3"/>
  <c r="C67" i="3"/>
  <c r="E67" i="3"/>
  <c r="G20" i="3"/>
  <c r="C20" i="3"/>
  <c r="E20" i="3"/>
  <c r="E59" i="2"/>
  <c r="G19" i="3"/>
  <c r="C19" i="3"/>
  <c r="E19" i="3"/>
  <c r="E58" i="2"/>
  <c r="G66" i="3"/>
  <c r="C66" i="3"/>
  <c r="E66" i="3"/>
  <c r="G18" i="3"/>
  <c r="C18" i="3"/>
  <c r="E56" i="2"/>
  <c r="G65" i="3"/>
  <c r="C65" i="3"/>
  <c r="E65" i="3"/>
  <c r="G17" i="3"/>
  <c r="C17" i="3"/>
  <c r="E54" i="2"/>
  <c r="E17" i="3"/>
  <c r="G16" i="3"/>
  <c r="C16" i="3"/>
  <c r="E16" i="3"/>
  <c r="E53" i="2"/>
  <c r="G64" i="3"/>
  <c r="C64" i="3"/>
  <c r="E64" i="3"/>
  <c r="G63" i="3"/>
  <c r="C63" i="3"/>
  <c r="E63" i="3"/>
  <c r="G62" i="3"/>
  <c r="C62" i="3"/>
  <c r="E62" i="3"/>
  <c r="G61" i="3"/>
  <c r="C61" i="3"/>
  <c r="E61" i="3"/>
  <c r="G60" i="3"/>
  <c r="C60" i="3"/>
  <c r="E60" i="3"/>
  <c r="G59" i="3"/>
  <c r="C59" i="3"/>
  <c r="E59" i="3"/>
  <c r="G58" i="3"/>
  <c r="C58" i="3"/>
  <c r="G15" i="3"/>
  <c r="C15" i="3"/>
  <c r="E15" i="3"/>
  <c r="E41" i="2"/>
  <c r="G14" i="3"/>
  <c r="C14" i="3"/>
  <c r="E40" i="2"/>
  <c r="G13" i="3"/>
  <c r="C13" i="3"/>
  <c r="E13" i="3"/>
  <c r="E39" i="2"/>
  <c r="G12" i="3"/>
  <c r="C12" i="3"/>
  <c r="E38" i="2"/>
  <c r="E12" i="3"/>
  <c r="G57" i="3"/>
  <c r="C57" i="3"/>
  <c r="E57" i="3"/>
  <c r="G56" i="3"/>
  <c r="C56" i="3"/>
  <c r="E56" i="3"/>
  <c r="G55" i="3"/>
  <c r="C55" i="3"/>
  <c r="E55" i="3"/>
  <c r="G54" i="3"/>
  <c r="C54" i="3"/>
  <c r="E54" i="3"/>
  <c r="G53" i="3"/>
  <c r="C53" i="3"/>
  <c r="E53" i="3"/>
  <c r="G52" i="3"/>
  <c r="C52" i="3"/>
  <c r="E52" i="3"/>
  <c r="G51" i="3"/>
  <c r="C51" i="3"/>
  <c r="E51" i="3"/>
  <c r="G50" i="3"/>
  <c r="C50" i="3"/>
  <c r="E50" i="3"/>
  <c r="G49" i="3"/>
  <c r="C49" i="3"/>
  <c r="E49" i="3"/>
  <c r="G48" i="3"/>
  <c r="C48" i="3"/>
  <c r="E48" i="3"/>
  <c r="G47" i="3"/>
  <c r="C47" i="3"/>
  <c r="E47" i="3"/>
  <c r="G46" i="3"/>
  <c r="C46" i="3"/>
  <c r="E46" i="3"/>
  <c r="G45" i="3"/>
  <c r="C45" i="3"/>
  <c r="E45" i="3"/>
  <c r="G44" i="3"/>
  <c r="C44" i="3"/>
  <c r="E44" i="3"/>
  <c r="G11" i="3"/>
  <c r="C11" i="3"/>
  <c r="E21" i="2"/>
  <c r="E11" i="3"/>
  <c r="H43" i="3"/>
  <c r="B43" i="3"/>
  <c r="D43" i="3"/>
  <c r="A43" i="3"/>
  <c r="H42" i="3"/>
  <c r="D42" i="3"/>
  <c r="B42" i="3"/>
  <c r="A42" i="3"/>
  <c r="H41" i="3"/>
  <c r="B41" i="3"/>
  <c r="D41" i="3"/>
  <c r="A41" i="3"/>
  <c r="H40" i="3"/>
  <c r="D40" i="3"/>
  <c r="B40" i="3"/>
  <c r="A40" i="3"/>
  <c r="H39" i="3"/>
  <c r="B39" i="3"/>
  <c r="D39" i="3"/>
  <c r="A39" i="3"/>
  <c r="H38" i="3"/>
  <c r="D38" i="3"/>
  <c r="B38" i="3"/>
  <c r="A38" i="3"/>
  <c r="H37" i="3"/>
  <c r="B37" i="3"/>
  <c r="D37" i="3"/>
  <c r="A37" i="3"/>
  <c r="H73" i="3"/>
  <c r="D73" i="3"/>
  <c r="B73" i="3"/>
  <c r="A73" i="3"/>
  <c r="H36" i="3"/>
  <c r="B36" i="3"/>
  <c r="D36" i="3"/>
  <c r="A36" i="3"/>
  <c r="H35" i="3"/>
  <c r="D35" i="3"/>
  <c r="B35" i="3"/>
  <c r="A35" i="3"/>
  <c r="H34" i="3"/>
  <c r="B34" i="3"/>
  <c r="D34" i="3"/>
  <c r="A34" i="3"/>
  <c r="H72" i="3"/>
  <c r="D72" i="3"/>
  <c r="B72" i="3"/>
  <c r="A72" i="3"/>
  <c r="H71" i="3"/>
  <c r="B71" i="3"/>
  <c r="D71" i="3"/>
  <c r="A71" i="3"/>
  <c r="H70" i="3"/>
  <c r="D70" i="3"/>
  <c r="B70" i="3"/>
  <c r="A70" i="3"/>
  <c r="H33" i="3"/>
  <c r="B33" i="3"/>
  <c r="D33" i="3"/>
  <c r="A33" i="3"/>
  <c r="H69" i="3"/>
  <c r="D69" i="3"/>
  <c r="B69" i="3"/>
  <c r="A69" i="3"/>
  <c r="H32" i="3"/>
  <c r="B32" i="3"/>
  <c r="D32" i="3"/>
  <c r="A32" i="3"/>
  <c r="H31" i="3"/>
  <c r="D31" i="3"/>
  <c r="B31" i="3"/>
  <c r="A31" i="3"/>
  <c r="H30" i="3"/>
  <c r="B30" i="3"/>
  <c r="D30" i="3"/>
  <c r="A30" i="3"/>
  <c r="H29" i="3"/>
  <c r="D29" i="3"/>
  <c r="B29" i="3"/>
  <c r="A29" i="3"/>
  <c r="H28" i="3"/>
  <c r="B28" i="3"/>
  <c r="D28" i="3"/>
  <c r="A28" i="3"/>
  <c r="H27" i="3"/>
  <c r="D27" i="3"/>
  <c r="B27" i="3"/>
  <c r="A27" i="3"/>
  <c r="H26" i="3"/>
  <c r="B26" i="3"/>
  <c r="D26" i="3"/>
  <c r="A26" i="3"/>
  <c r="H25" i="3"/>
  <c r="D25" i="3"/>
  <c r="B25" i="3"/>
  <c r="A25" i="3"/>
  <c r="H24" i="3"/>
  <c r="B24" i="3"/>
  <c r="D24" i="3"/>
  <c r="A24" i="3"/>
  <c r="H23" i="3"/>
  <c r="D23" i="3"/>
  <c r="B23" i="3"/>
  <c r="A23" i="3"/>
  <c r="H68" i="3"/>
  <c r="B68" i="3"/>
  <c r="D68" i="3"/>
  <c r="A68" i="3"/>
  <c r="H22" i="3"/>
  <c r="D22" i="3"/>
  <c r="B22" i="3"/>
  <c r="A22" i="3"/>
  <c r="H21" i="3"/>
  <c r="B21" i="3"/>
  <c r="D21" i="3"/>
  <c r="A21" i="3"/>
  <c r="H67" i="3"/>
  <c r="D67" i="3"/>
  <c r="B67" i="3"/>
  <c r="A67" i="3"/>
  <c r="H20" i="3"/>
  <c r="B20" i="3"/>
  <c r="D20" i="3"/>
  <c r="A20" i="3"/>
  <c r="H19" i="3"/>
  <c r="D19" i="3"/>
  <c r="B19" i="3"/>
  <c r="A19" i="3"/>
  <c r="H66" i="3"/>
  <c r="B66" i="3"/>
  <c r="D66" i="3"/>
  <c r="A66" i="3"/>
  <c r="H18" i="3"/>
  <c r="D18" i="3"/>
  <c r="B18" i="3"/>
  <c r="A18" i="3"/>
  <c r="H65" i="3"/>
  <c r="B65" i="3"/>
  <c r="D65" i="3"/>
  <c r="A65" i="3"/>
  <c r="H17" i="3"/>
  <c r="D17" i="3"/>
  <c r="B17" i="3"/>
  <c r="A17" i="3"/>
  <c r="H16" i="3"/>
  <c r="B16" i="3"/>
  <c r="D16" i="3"/>
  <c r="A16" i="3"/>
  <c r="H64" i="3"/>
  <c r="D64" i="3"/>
  <c r="B64" i="3"/>
  <c r="A64" i="3"/>
  <c r="H63" i="3"/>
  <c r="B63" i="3"/>
  <c r="D63" i="3"/>
  <c r="A63" i="3"/>
  <c r="H62" i="3"/>
  <c r="D62" i="3"/>
  <c r="B62" i="3"/>
  <c r="A62" i="3"/>
  <c r="H61" i="3"/>
  <c r="B61" i="3"/>
  <c r="D61" i="3"/>
  <c r="A61" i="3"/>
  <c r="H60" i="3"/>
  <c r="D60" i="3"/>
  <c r="B60" i="3"/>
  <c r="A60" i="3"/>
  <c r="H59" i="3"/>
  <c r="B59" i="3"/>
  <c r="D59" i="3"/>
  <c r="A59" i="3"/>
  <c r="H58" i="3"/>
  <c r="D58" i="3"/>
  <c r="B58" i="3"/>
  <c r="A58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D12" i="3"/>
  <c r="B12" i="3"/>
  <c r="A12" i="3"/>
  <c r="H57" i="3"/>
  <c r="B57" i="3"/>
  <c r="D57" i="3"/>
  <c r="A57" i="3"/>
  <c r="H56" i="3"/>
  <c r="D56" i="3"/>
  <c r="B56" i="3"/>
  <c r="A56" i="3"/>
  <c r="H55" i="3"/>
  <c r="B55" i="3"/>
  <c r="D55" i="3"/>
  <c r="A55" i="3"/>
  <c r="H54" i="3"/>
  <c r="D54" i="3"/>
  <c r="B54" i="3"/>
  <c r="A54" i="3"/>
  <c r="H53" i="3"/>
  <c r="B53" i="3"/>
  <c r="D53" i="3"/>
  <c r="A53" i="3"/>
  <c r="H52" i="3"/>
  <c r="D52" i="3"/>
  <c r="B52" i="3"/>
  <c r="A52" i="3"/>
  <c r="H51" i="3"/>
  <c r="B51" i="3"/>
  <c r="D51" i="3"/>
  <c r="A51" i="3"/>
  <c r="H50" i="3"/>
  <c r="D50" i="3"/>
  <c r="B50" i="3"/>
  <c r="A50" i="3"/>
  <c r="H49" i="3"/>
  <c r="B49" i="3"/>
  <c r="D49" i="3"/>
  <c r="A49" i="3"/>
  <c r="H48" i="3"/>
  <c r="D48" i="3"/>
  <c r="B48" i="3"/>
  <c r="A48" i="3"/>
  <c r="H47" i="3"/>
  <c r="B47" i="3"/>
  <c r="D47" i="3"/>
  <c r="A47" i="3"/>
  <c r="H46" i="3"/>
  <c r="D46" i="3"/>
  <c r="B46" i="3"/>
  <c r="A46" i="3"/>
  <c r="H45" i="3"/>
  <c r="B45" i="3"/>
  <c r="D45" i="3"/>
  <c r="A45" i="3"/>
  <c r="H44" i="3"/>
  <c r="D44" i="3"/>
  <c r="B44" i="3"/>
  <c r="A44" i="3"/>
  <c r="H11" i="3"/>
  <c r="B11" i="3"/>
  <c r="D11" i="3"/>
  <c r="A11" i="3"/>
  <c r="E90" i="2"/>
  <c r="F90" i="2"/>
  <c r="G90" i="2"/>
  <c r="K90" i="2"/>
  <c r="E91" i="2"/>
  <c r="F91" i="2"/>
  <c r="G91" i="2"/>
  <c r="K91" i="2"/>
  <c r="E92" i="2"/>
  <c r="F92" i="2"/>
  <c r="G92" i="2"/>
  <c r="C9" i="2"/>
  <c r="D9" i="2"/>
  <c r="F53" i="2"/>
  <c r="G53" i="2"/>
  <c r="J53" i="2"/>
  <c r="E46" i="2"/>
  <c r="F46" i="2"/>
  <c r="G46" i="2"/>
  <c r="I46" i="2"/>
  <c r="E47" i="2"/>
  <c r="F47" i="2"/>
  <c r="G47" i="2"/>
  <c r="E49" i="2"/>
  <c r="F49" i="2"/>
  <c r="G49" i="2"/>
  <c r="I49" i="2"/>
  <c r="E44" i="2"/>
  <c r="F44" i="2"/>
  <c r="G44" i="2"/>
  <c r="K44" i="2"/>
  <c r="E51" i="2"/>
  <c r="F51" i="2"/>
  <c r="G51" i="2"/>
  <c r="K51" i="2"/>
  <c r="E52" i="2"/>
  <c r="F52" i="2"/>
  <c r="G52" i="2"/>
  <c r="K52" i="2"/>
  <c r="F39" i="2"/>
  <c r="G39" i="2"/>
  <c r="K39" i="2"/>
  <c r="F41" i="2"/>
  <c r="G41" i="2"/>
  <c r="K41" i="2"/>
  <c r="F54" i="2"/>
  <c r="G54" i="2"/>
  <c r="F59" i="2"/>
  <c r="G59" i="2"/>
  <c r="J59" i="2"/>
  <c r="F64" i="2"/>
  <c r="G64" i="2"/>
  <c r="K64" i="2"/>
  <c r="F61" i="2"/>
  <c r="G61" i="2"/>
  <c r="J61" i="2"/>
  <c r="G62" i="2"/>
  <c r="F65" i="2"/>
  <c r="G65" i="2"/>
  <c r="F66" i="2"/>
  <c r="G66" i="2"/>
  <c r="I66" i="2"/>
  <c r="F58" i="2"/>
  <c r="G58" i="2"/>
  <c r="K58" i="2"/>
  <c r="E74" i="2"/>
  <c r="F74" i="2"/>
  <c r="G74" i="2"/>
  <c r="K74" i="2"/>
  <c r="E76" i="2"/>
  <c r="F76" i="2"/>
  <c r="G76" i="2"/>
  <c r="K76" i="2"/>
  <c r="E77" i="2"/>
  <c r="F77" i="2"/>
  <c r="G77" i="2"/>
  <c r="K77" i="2"/>
  <c r="E78" i="2"/>
  <c r="F78" i="2"/>
  <c r="G78" i="2"/>
  <c r="F79" i="2"/>
  <c r="G79" i="2"/>
  <c r="F80" i="2"/>
  <c r="G80" i="2"/>
  <c r="K80" i="2"/>
  <c r="F81" i="2"/>
  <c r="G81" i="2"/>
  <c r="K81" i="2"/>
  <c r="F83" i="2"/>
  <c r="G83" i="2"/>
  <c r="K83" i="2"/>
  <c r="F85" i="2"/>
  <c r="G85" i="2"/>
  <c r="K85" i="2"/>
  <c r="F87" i="2"/>
  <c r="G87" i="2"/>
  <c r="K87" i="2"/>
  <c r="F89" i="2"/>
  <c r="G89" i="2"/>
  <c r="F21" i="2"/>
  <c r="E22" i="2"/>
  <c r="F22" i="2"/>
  <c r="E33" i="2"/>
  <c r="F33" i="2"/>
  <c r="E42" i="2"/>
  <c r="F42" i="2"/>
  <c r="F38" i="2"/>
  <c r="F67" i="2"/>
  <c r="F68" i="2"/>
  <c r="F69" i="2"/>
  <c r="F70" i="2"/>
  <c r="F71" i="2"/>
  <c r="F72" i="2"/>
  <c r="E60" i="2"/>
  <c r="F60" i="2"/>
  <c r="E63" i="2"/>
  <c r="F63" i="2"/>
  <c r="Q90" i="2"/>
  <c r="Q91" i="2"/>
  <c r="K92" i="2"/>
  <c r="Q92" i="2"/>
  <c r="Q89" i="2"/>
  <c r="K89" i="2"/>
  <c r="Q88" i="2"/>
  <c r="Q87" i="2"/>
  <c r="Q85" i="2"/>
  <c r="Q84" i="2"/>
  <c r="Q83" i="2"/>
  <c r="Q81" i="2"/>
  <c r="Q80" i="2"/>
  <c r="Q79" i="2"/>
  <c r="K79" i="2"/>
  <c r="Q86" i="2"/>
  <c r="Q66" i="2"/>
  <c r="Q75" i="2"/>
  <c r="Q76" i="2"/>
  <c r="Q77" i="2"/>
  <c r="K78" i="2"/>
  <c r="Q78" i="2"/>
  <c r="F16" i="2"/>
  <c r="F17" i="2" s="1"/>
  <c r="C17" i="2"/>
  <c r="Q74" i="2"/>
  <c r="Q63" i="2"/>
  <c r="Q60" i="2"/>
  <c r="Q58" i="2"/>
  <c r="Q68" i="2"/>
  <c r="Q69" i="2"/>
  <c r="Q70" i="2"/>
  <c r="Q71" i="2"/>
  <c r="Q72" i="2"/>
  <c r="Q73" i="2"/>
  <c r="Q64" i="2"/>
  <c r="Q67" i="2"/>
  <c r="Q22" i="2"/>
  <c r="Q33" i="2"/>
  <c r="Q42" i="2"/>
  <c r="Q44" i="2"/>
  <c r="Q51" i="2"/>
  <c r="Q52" i="2"/>
  <c r="H21" i="2"/>
  <c r="Q56" i="2"/>
  <c r="Q59" i="2"/>
  <c r="Q61" i="2"/>
  <c r="K65" i="2"/>
  <c r="Q65" i="2"/>
  <c r="Q21" i="2"/>
  <c r="Q53" i="2"/>
  <c r="J62" i="2"/>
  <c r="Q62" i="2"/>
  <c r="J54" i="2"/>
  <c r="Q54" i="2"/>
  <c r="Q46" i="2"/>
  <c r="I47" i="2"/>
  <c r="Q47" i="2"/>
  <c r="Q49" i="2"/>
  <c r="Q38" i="2"/>
  <c r="Q39" i="2"/>
  <c r="Q40" i="2"/>
  <c r="Q41" i="2"/>
  <c r="E35" i="1"/>
  <c r="F35" i="1"/>
  <c r="E37" i="1"/>
  <c r="F37" i="1"/>
  <c r="E40" i="1"/>
  <c r="F40" i="1"/>
  <c r="G40" i="1"/>
  <c r="J40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E23" i="1"/>
  <c r="F23" i="1"/>
  <c r="G23" i="1"/>
  <c r="I23" i="1"/>
  <c r="E26" i="1"/>
  <c r="F26" i="1"/>
  <c r="Q22" i="1"/>
  <c r="Q23" i="1"/>
  <c r="Q24" i="1"/>
  <c r="Q25" i="1"/>
  <c r="Q26" i="1"/>
  <c r="Q27" i="1"/>
  <c r="Q28" i="1"/>
  <c r="Q29" i="1"/>
  <c r="C8" i="1"/>
  <c r="C7" i="1"/>
  <c r="E30" i="1"/>
  <c r="F30" i="1"/>
  <c r="Q21" i="1"/>
  <c r="E32" i="1"/>
  <c r="F32" i="1"/>
  <c r="E58" i="3"/>
  <c r="E29" i="1"/>
  <c r="F29" i="1"/>
  <c r="G22" i="1"/>
  <c r="I22" i="1"/>
  <c r="E43" i="1"/>
  <c r="F43" i="1"/>
  <c r="G43" i="1"/>
  <c r="J43" i="1"/>
  <c r="G34" i="1"/>
  <c r="J34" i="1"/>
  <c r="F75" i="2"/>
  <c r="G75" i="2"/>
  <c r="J75" i="2"/>
  <c r="F40" i="2"/>
  <c r="G40" i="2"/>
  <c r="E14" i="3"/>
  <c r="E21" i="1"/>
  <c r="F21" i="1"/>
  <c r="G21" i="1"/>
  <c r="G42" i="1"/>
  <c r="J42" i="1"/>
  <c r="E38" i="1"/>
  <c r="F38" i="1"/>
  <c r="G38" i="1"/>
  <c r="J38" i="1"/>
  <c r="F84" i="2"/>
  <c r="G84" i="2"/>
  <c r="K84" i="2"/>
  <c r="E38" i="3"/>
  <c r="E36" i="1"/>
  <c r="F36" i="1"/>
  <c r="G36" i="1"/>
  <c r="J36" i="1"/>
  <c r="E44" i="1"/>
  <c r="F44" i="1"/>
  <c r="G44" i="1"/>
  <c r="J44" i="1"/>
  <c r="E24" i="1"/>
  <c r="F24" i="1"/>
  <c r="G26" i="1"/>
  <c r="I26" i="1"/>
  <c r="E31" i="1"/>
  <c r="F31" i="1"/>
  <c r="G31" i="1"/>
  <c r="J31" i="1"/>
  <c r="G33" i="1"/>
  <c r="J33" i="1"/>
  <c r="E39" i="1"/>
  <c r="F39" i="1"/>
  <c r="G39" i="1"/>
  <c r="J39" i="1"/>
  <c r="E22" i="1"/>
  <c r="F22" i="1"/>
  <c r="E27" i="1"/>
  <c r="F27" i="1"/>
  <c r="G27" i="1"/>
  <c r="I27" i="1"/>
  <c r="G29" i="1"/>
  <c r="I29" i="1"/>
  <c r="G30" i="1"/>
  <c r="J30" i="1"/>
  <c r="E33" i="1"/>
  <c r="F33" i="1"/>
  <c r="G35" i="1"/>
  <c r="J35" i="1"/>
  <c r="E41" i="1"/>
  <c r="F41" i="1"/>
  <c r="G41" i="1"/>
  <c r="J41" i="1"/>
  <c r="E25" i="1"/>
  <c r="F25" i="1"/>
  <c r="G25" i="1"/>
  <c r="I25" i="1"/>
  <c r="G37" i="1"/>
  <c r="J37" i="1"/>
  <c r="E34" i="1"/>
  <c r="F34" i="1"/>
  <c r="F56" i="2"/>
  <c r="G56" i="2"/>
  <c r="J56" i="2"/>
  <c r="E18" i="3"/>
  <c r="E40" i="3"/>
  <c r="F86" i="2"/>
  <c r="G86" i="2"/>
  <c r="J86" i="2"/>
  <c r="E28" i="1"/>
  <c r="F28" i="1"/>
  <c r="G28" i="1"/>
  <c r="I28" i="1"/>
  <c r="G24" i="1"/>
  <c r="I24" i="1"/>
  <c r="E42" i="1"/>
  <c r="F42" i="1"/>
  <c r="G32" i="1"/>
  <c r="J32" i="1"/>
  <c r="E42" i="3"/>
  <c r="F88" i="2"/>
  <c r="G88" i="2"/>
  <c r="K88" i="2"/>
  <c r="H21" i="1"/>
  <c r="C11" i="1"/>
  <c r="C12" i="1"/>
  <c r="C16" i="1"/>
  <c r="D18" i="1"/>
  <c r="K40" i="2"/>
  <c r="O31" i="1"/>
  <c r="O39" i="1"/>
  <c r="O24" i="1"/>
  <c r="O21" i="1"/>
  <c r="O34" i="1"/>
  <c r="O42" i="1"/>
  <c r="O27" i="1"/>
  <c r="O36" i="1"/>
  <c r="O30" i="1"/>
  <c r="O44" i="1"/>
  <c r="O43" i="1"/>
  <c r="O37" i="1"/>
  <c r="O41" i="1"/>
  <c r="O32" i="1"/>
  <c r="O25" i="1"/>
  <c r="O38" i="1"/>
  <c r="O22" i="1"/>
  <c r="O33" i="1"/>
  <c r="O23" i="1"/>
  <c r="O26" i="1"/>
  <c r="O35" i="1"/>
  <c r="O28" i="1"/>
  <c r="O40" i="1"/>
  <c r="O29" i="1"/>
  <c r="C15" i="1"/>
  <c r="C18" i="1"/>
  <c r="C12" i="2"/>
  <c r="C11" i="2"/>
  <c r="O96" i="2" l="1"/>
  <c r="O67" i="2"/>
  <c r="O94" i="2"/>
  <c r="O85" i="2"/>
  <c r="O90" i="2"/>
  <c r="O81" i="2"/>
  <c r="O92" i="2"/>
  <c r="O72" i="2"/>
  <c r="O77" i="2"/>
  <c r="O66" i="2"/>
  <c r="O86" i="2"/>
  <c r="O63" i="2"/>
  <c r="O60" i="2"/>
  <c r="O83" i="2"/>
  <c r="O61" i="2"/>
  <c r="O59" i="2"/>
  <c r="O80" i="2"/>
  <c r="O71" i="2"/>
  <c r="O89" i="2"/>
  <c r="O62" i="2"/>
  <c r="O65" i="2"/>
  <c r="O76" i="2"/>
  <c r="O56" i="2"/>
  <c r="O95" i="2"/>
  <c r="O93" i="2"/>
  <c r="O74" i="2"/>
  <c r="O54" i="2"/>
  <c r="O73" i="2"/>
  <c r="O91" i="2"/>
  <c r="O75" i="2"/>
  <c r="O64" i="2"/>
  <c r="O78" i="2"/>
  <c r="O87" i="2"/>
  <c r="O88" i="2"/>
  <c r="O69" i="2"/>
  <c r="O84" i="2"/>
  <c r="O79" i="2"/>
  <c r="O70" i="2"/>
  <c r="O68" i="2"/>
  <c r="O58" i="2"/>
  <c r="C15" i="2"/>
  <c r="C16" i="2"/>
  <c r="D18" i="2" s="1"/>
  <c r="C18" i="2" l="1"/>
  <c r="F18" i="2"/>
  <c r="F19" i="2" s="1"/>
</calcChain>
</file>

<file path=xl/sharedStrings.xml><?xml version="1.0" encoding="utf-8"?>
<sst xmlns="http://schemas.openxmlformats.org/spreadsheetml/2006/main" count="795" uniqueCount="324">
  <si>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</si>
  <si>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</si>
  <si>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</si>
  <si>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</si>
  <si>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</si>
  <si>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</si>
  <si>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</si>
  <si>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</si>
  <si>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</si>
  <si>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</si>
  <si>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</si>
  <si>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</si>
  <si>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</si>
  <si>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</si>
  <si>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</si>
  <si>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</si>
  <si>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</si>
  <si>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</si>
  <si>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</si>
  <si>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</si>
  <si>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</si>
  <si>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</si>
  <si>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</si>
  <si>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</si>
  <si>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</si>
  <si>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</si>
  <si>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</si>
  <si>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</si>
  <si>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</si>
  <si>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</si>
  <si>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AU Dra</t>
  </si>
  <si>
    <t>Diethelm R</t>
  </si>
  <si>
    <t>BBSAG Bull.115</t>
  </si>
  <si>
    <t>B</t>
  </si>
  <si>
    <t>Blaettler E</t>
  </si>
  <si>
    <t>BBSAG Bull.116</t>
  </si>
  <si>
    <t>BBSAG Bull.117</t>
  </si>
  <si>
    <t>BBSAG Bull.118</t>
  </si>
  <si>
    <t>II</t>
  </si>
  <si>
    <t>BBSAG</t>
  </si>
  <si>
    <t>IBVS 5484</t>
  </si>
  <si>
    <t>IBVS 4912</t>
  </si>
  <si>
    <t>IBVS 4585</t>
  </si>
  <si>
    <t>IBVS 4605</t>
  </si>
  <si>
    <t>IBVS</t>
  </si>
  <si>
    <t>IBVS 5296</t>
  </si>
  <si>
    <t>IBVS 5543</t>
  </si>
  <si>
    <t>I</t>
  </si>
  <si>
    <t>IBVS 4587</t>
  </si>
  <si>
    <t>EA/SD:</t>
  </si>
  <si>
    <t>AU Dra / GSC 04421-02005</t>
  </si>
  <si>
    <t># of data points:</t>
  </si>
  <si>
    <t>IBVS 5731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</si>
  <si>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</si>
  <si>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</si>
  <si>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</si>
  <si>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</si>
  <si>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</si>
  <si>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</si>
  <si>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IBVS 5784</t>
  </si>
  <si>
    <t>Start of linear fit &gt;&gt;&gt;&gt;&gt;&gt;&gt;&gt;&gt;&gt;&gt;&gt;&gt;&gt;&gt;&gt;&gt;&gt;&gt;&gt;&gt;</t>
  </si>
  <si>
    <t>OEJV 0074</t>
  </si>
  <si>
    <t>vis</t>
  </si>
  <si>
    <t>OEJV 0107</t>
  </si>
  <si>
    <t>Add cycle</t>
  </si>
  <si>
    <t>Old Cycle</t>
  </si>
  <si>
    <t>OEJV 0137</t>
  </si>
  <si>
    <t>IBVS 5918</t>
  </si>
  <si>
    <t>OEJV 0003</t>
  </si>
  <si>
    <t>IBVS 6029</t>
  </si>
  <si>
    <t>OEJV 0160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</si>
  <si>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</si>
  <si>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</si>
  <si>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</si>
  <si>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</si>
  <si>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</si>
  <si>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</si>
  <si>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</si>
  <si>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</si>
  <si>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</si>
  <si>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</si>
  <si>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</si>
  <si>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2435635.397 </t>
  </si>
  <si>
    <t> 10.06.1956 21:31 </t>
  </si>
  <si>
    <t> 0.000 </t>
  </si>
  <si>
    <t>V </t>
  </si>
  <si>
    <t> W.Zessewitsch </t>
  </si>
  <si>
    <t> AC 173.15 </t>
  </si>
  <si>
    <t>2435702.366 </t>
  </si>
  <si>
    <t> 16.08.1956 20:47 </t>
  </si>
  <si>
    <t> 0.001 </t>
  </si>
  <si>
    <t>2435703.395 </t>
  </si>
  <si>
    <t> 17.08.1956 21:28 </t>
  </si>
  <si>
    <t> -0.000 </t>
  </si>
  <si>
    <t>2435716.264 </t>
  </si>
  <si>
    <t> 30.08.1956 18:20 </t>
  </si>
  <si>
    <t> -0.010 </t>
  </si>
  <si>
    <t>2435717.290 </t>
  </si>
  <si>
    <t> 31.08.1956 18:57 </t>
  </si>
  <si>
    <t> -0.014 </t>
  </si>
  <si>
    <t>2435718.338 </t>
  </si>
  <si>
    <t> 01.09.1956 20:06 </t>
  </si>
  <si>
    <t> 0.003 </t>
  </si>
  <si>
    <t>2435719.364 </t>
  </si>
  <si>
    <t> 02.09.1956 20:44 </t>
  </si>
  <si>
    <t> -0.001 </t>
  </si>
  <si>
    <t>2435720.393 </t>
  </si>
  <si>
    <t> 03.09.1956 21:25 </t>
  </si>
  <si>
    <t> -0.002 </t>
  </si>
  <si>
    <t>2447654.494 </t>
  </si>
  <si>
    <t> 07.05.1989 23:51 </t>
  </si>
  <si>
    <t> -0.149 </t>
  </si>
  <si>
    <t> J.Borovicka </t>
  </si>
  <si>
    <t> BRNO 30 </t>
  </si>
  <si>
    <t>2447669.418 </t>
  </si>
  <si>
    <t> 22.05.1989 22:01 </t>
  </si>
  <si>
    <t> -0.165 </t>
  </si>
  <si>
    <t> A.Dedoch </t>
  </si>
  <si>
    <t>2447669.437 </t>
  </si>
  <si>
    <t> 22.05.1989 22:29 </t>
  </si>
  <si>
    <t> -0.146 </t>
  </si>
  <si>
    <t>2447737.455 </t>
  </si>
  <si>
    <t> 29.07.1989 22:55 </t>
  </si>
  <si>
    <t> -0.384 </t>
  </si>
  <si>
    <t> M.Tichy </t>
  </si>
  <si>
    <t>2447737.456 </t>
  </si>
  <si>
    <t> 29.07.1989 22:56 </t>
  </si>
  <si>
    <t> -0.383 </t>
  </si>
  <si>
    <t>2447737.457 </t>
  </si>
  <si>
    <t> 29.07.1989 22:58 </t>
  </si>
  <si>
    <t> -0.382 </t>
  </si>
  <si>
    <t> P.Hajek </t>
  </si>
  <si>
    <t>2447737.461 </t>
  </si>
  <si>
    <t> 29.07.1989 23:03 </t>
  </si>
  <si>
    <t> -0.378 </t>
  </si>
  <si>
    <t> M.Vrastak </t>
  </si>
  <si>
    <t>2447871.417 </t>
  </si>
  <si>
    <t> 10.12.1989 22:00 </t>
  </si>
  <si>
    <t> -0.358 </t>
  </si>
  <si>
    <t> L.Sarounova et al. </t>
  </si>
  <si>
    <t>IBVS 4605 </t>
  </si>
  <si>
    <t>2450444.6617 </t>
  </si>
  <si>
    <t> 27.12.1996 03:52 </t>
  </si>
  <si>
    <t> -0.4952 </t>
  </si>
  <si>
    <t>E </t>
  </si>
  <si>
    <t>R</t>
  </si>
  <si>
    <t>2450445.6922 </t>
  </si>
  <si>
    <t> 28.12.1996 04:36 </t>
  </si>
  <si>
    <t> -0.4949 </t>
  </si>
  <si>
    <t>G</t>
  </si>
  <si>
    <t>2450525.5593 </t>
  </si>
  <si>
    <t> 18.03.1997 01:25 </t>
  </si>
  <si>
    <t> -0.4745 </t>
  </si>
  <si>
    <t>2450599.496 </t>
  </si>
  <si>
    <t> 30.05.1997 23:54 </t>
  </si>
  <si>
    <t> -0.460 </t>
  </si>
  <si>
    <t>?</t>
  </si>
  <si>
    <t> R.Diethelm </t>
  </si>
  <si>
    <t> BBS 115 </t>
  </si>
  <si>
    <t>2450710.284 </t>
  </si>
  <si>
    <t> 18.09.1997 18:48 </t>
  </si>
  <si>
    <t> -0.428 </t>
  </si>
  <si>
    <t> E.Blättler </t>
  </si>
  <si>
    <t>IBVS 4587 </t>
  </si>
  <si>
    <t>2450770.311 </t>
  </si>
  <si>
    <t> 17.11.1997 19:27 </t>
  </si>
  <si>
    <t> -0.414 </t>
  </si>
  <si>
    <t>2450774.434 </t>
  </si>
  <si>
    <t> 21.11.1997 22:24 </t>
  </si>
  <si>
    <t> -0.412 </t>
  </si>
  <si>
    <t>2450778.297 </t>
  </si>
  <si>
    <t> 25.11.1997 19:07 </t>
  </si>
  <si>
    <t> -0.413 </t>
  </si>
  <si>
    <t>2450822.3520 </t>
  </si>
  <si>
    <t> 08.01.1998 20:26 </t>
  </si>
  <si>
    <t> -0.4025 </t>
  </si>
  <si>
    <t>2450823.6397 </t>
  </si>
  <si>
    <t> 10.01.1998 03:21 </t>
  </si>
  <si>
    <t> -0.4026 </t>
  </si>
  <si>
    <t>2450941.3807 </t>
  </si>
  <si>
    <t> 07.05.1998 21:08 </t>
  </si>
  <si>
    <t> -0.3711 </t>
  </si>
  <si>
    <t> BBS 118 </t>
  </si>
  <si>
    <t>2451287.3806 </t>
  </si>
  <si>
    <t> 18.04.1999 21:08 </t>
  </si>
  <si>
    <t> -0.2877 </t>
  </si>
  <si>
    <t>o</t>
  </si>
  <si>
    <t> K.&amp; M.Rätz </t>
  </si>
  <si>
    <t>BAVM 128 </t>
  </si>
  <si>
    <t>2451556.6078 </t>
  </si>
  <si>
    <t> 13.01.2000 02:35 </t>
  </si>
  <si>
    <t> -0.2212 </t>
  </si>
  <si>
    <t> BBS 122 </t>
  </si>
  <si>
    <t>2451833.3041 </t>
  </si>
  <si>
    <t> 15.10.2000 19:17 </t>
  </si>
  <si>
    <t> -0.1551 </t>
  </si>
  <si>
    <t>BAVM 152 </t>
  </si>
  <si>
    <t>2451926.5681 </t>
  </si>
  <si>
    <t> 17.01.2001 01:38 </t>
  </si>
  <si>
    <t> -0.1314 </t>
  </si>
  <si>
    <t> BBS 124 </t>
  </si>
  <si>
    <t>2452027.55764 </t>
  </si>
  <si>
    <t> 28.04.2001 01:23 </t>
  </si>
  <si>
    <t> -0.10930 </t>
  </si>
  <si>
    <t>C </t>
  </si>
  <si>
    <t> J.Šafár </t>
  </si>
  <si>
    <t>OEJV 0074 </t>
  </si>
  <si>
    <t>2452039.4092 </t>
  </si>
  <si>
    <t> 09.05.2001 21:49 </t>
  </si>
  <si>
    <t> -0.1060 </t>
  </si>
  <si>
    <t>2452140.398 </t>
  </si>
  <si>
    <t> 18.08.2001 21:33 </t>
  </si>
  <si>
    <t> -0.085 </t>
  </si>
  <si>
    <t> P.Novotná </t>
  </si>
  <si>
    <t>2452375.3631 </t>
  </si>
  <si>
    <t> 10.04.2002 20:42 </t>
  </si>
  <si>
    <t> -0.0233 </t>
  </si>
  <si>
    <t> W.Moschner </t>
  </si>
  <si>
    <t>BAVM 158 </t>
  </si>
  <si>
    <t>2452375.6206 </t>
  </si>
  <si>
    <t> 11.04.2002 02:53 </t>
  </si>
  <si>
    <t> -0.0234 </t>
  </si>
  <si>
    <t>2452461.419 </t>
  </si>
  <si>
    <t> 05.07.2002 22:03 </t>
  </si>
  <si>
    <t> 0.004 </t>
  </si>
  <si>
    <t> M.Vrašták </t>
  </si>
  <si>
    <t>2452717.5008 </t>
  </si>
  <si>
    <t> 19.03.2003 00:01 </t>
  </si>
  <si>
    <t> 0.0614 </t>
  </si>
  <si>
    <t> BBS 129 </t>
  </si>
  <si>
    <t>2453107.556 </t>
  </si>
  <si>
    <t> 12.04.2004 01:20 </t>
  </si>
  <si>
    <t> 0.156 </t>
  </si>
  <si>
    <t> K.Locher </t>
  </si>
  <si>
    <t> BBS 130 </t>
  </si>
  <si>
    <t>2453186.389 </t>
  </si>
  <si>
    <t> 29.06.2004 21:20 </t>
  </si>
  <si>
    <t> 0.172 </t>
  </si>
  <si>
    <t>OEJV 0003 </t>
  </si>
  <si>
    <t>2453813.4700 </t>
  </si>
  <si>
    <t> 18.03.2006 23:16 </t>
  </si>
  <si>
    <t> 0.0703 </t>
  </si>
  <si>
    <t>BAVM 178 </t>
  </si>
  <si>
    <t>2453817.593 </t>
  </si>
  <si>
    <t> 23.03.2006 02:13 </t>
  </si>
  <si>
    <t> 0.072 </t>
  </si>
  <si>
    <t> M.Lewandowski et al. </t>
  </si>
  <si>
    <t>IBVS 5784 </t>
  </si>
  <si>
    <t>2453817.8509 </t>
  </si>
  <si>
    <t> 23.03.2006 08:25 </t>
  </si>
  <si>
    <t> 0.0725 </t>
  </si>
  <si>
    <t>2453999.4852 </t>
  </si>
  <si>
    <t> 20.09.2006 23:38 </t>
  </si>
  <si>
    <t> 0.1199 </t>
  </si>
  <si>
    <t>2453999.7487 </t>
  </si>
  <si>
    <t> 21.09.2006 05:58 </t>
  </si>
  <si>
    <t> 0.1258 </t>
  </si>
  <si>
    <t>2454150.9664 </t>
  </si>
  <si>
    <t> 19.02.2007 11:11 </t>
  </si>
  <si>
    <t> 0.1500 </t>
  </si>
  <si>
    <t>2454151.2131 </t>
  </si>
  <si>
    <t> 19.02.2007 17:06 </t>
  </si>
  <si>
    <t> 0.1391 </t>
  </si>
  <si>
    <t>2454214.3461 </t>
  </si>
  <si>
    <t> 23.04.2007 20:18 </t>
  </si>
  <si>
    <t> 0.1674 </t>
  </si>
  <si>
    <t> M.Lehky </t>
  </si>
  <si>
    <t>OEJV 0107 </t>
  </si>
  <si>
    <t>2454943.4491 </t>
  </si>
  <si>
    <t> 21.04.2009 22:46 </t>
  </si>
  <si>
    <t> 0.0898 </t>
  </si>
  <si>
    <t>-I</t>
  </si>
  <si>
    <t> F.Agerer </t>
  </si>
  <si>
    <t>BAVM 209 </t>
  </si>
  <si>
    <t>2455479.3229 </t>
  </si>
  <si>
    <t> 09.10.2010 19:44 </t>
  </si>
  <si>
    <t>38521</t>
  </si>
  <si>
    <t> 0.2180 </t>
  </si>
  <si>
    <t>OEJV 0137 </t>
  </si>
  <si>
    <t>2455479.3230 </t>
  </si>
  <si>
    <t> 09.10.2010 19:45 </t>
  </si>
  <si>
    <t> 0.2181 </t>
  </si>
  <si>
    <t>2455479.3231 </t>
  </si>
  <si>
    <t> 0.2182 </t>
  </si>
  <si>
    <t>2455671.51502 </t>
  </si>
  <si>
    <t> 20.04.2011 00:21 </t>
  </si>
  <si>
    <t>38894.5</t>
  </si>
  <si>
    <t> 0.00529 </t>
  </si>
  <si>
    <t>OEJV 0160 </t>
  </si>
  <si>
    <t>2455671.51517 </t>
  </si>
  <si>
    <t> 0.00544 </t>
  </si>
  <si>
    <t>2455671.5152 </t>
  </si>
  <si>
    <t> 0.0055 </t>
  </si>
  <si>
    <t>2455710.4184 </t>
  </si>
  <si>
    <t> 28.05.2011 22:02 </t>
  </si>
  <si>
    <t>38970</t>
  </si>
  <si>
    <t> 0.0156 </t>
  </si>
  <si>
    <t> U.Schmidt </t>
  </si>
  <si>
    <t>BAVM 225 </t>
  </si>
  <si>
    <t>2456008.49667 </t>
  </si>
  <si>
    <t> 21.03.2012 23:55 </t>
  </si>
  <si>
    <t>39548.5</t>
  </si>
  <si>
    <t> 0.08538 </t>
  </si>
  <si>
    <t>2456008.49717 </t>
  </si>
  <si>
    <t> 0.08588 </t>
  </si>
  <si>
    <t>2456008.49812 </t>
  </si>
  <si>
    <t> 21.03.2012 23:57 </t>
  </si>
  <si>
    <t> 0.08683 </t>
  </si>
  <si>
    <t>2456072.9076 </t>
  </si>
  <si>
    <t> 25.05.2012 09:46 </t>
  </si>
  <si>
    <t>39673.5</t>
  </si>
  <si>
    <t> 0.1038 </t>
  </si>
  <si>
    <t>IBVS 6029 </t>
  </si>
  <si>
    <t>2456135.51319 </t>
  </si>
  <si>
    <t> 27.07.2012 00:18 </t>
  </si>
  <si>
    <t>39795</t>
  </si>
  <si>
    <t> 0.11989 </t>
  </si>
  <si>
    <t>2456135.51409 </t>
  </si>
  <si>
    <t> 27.07.2012 00:20 </t>
  </si>
  <si>
    <t> 0.12079 </t>
  </si>
  <si>
    <t>2456135.51449 </t>
  </si>
  <si>
    <t> 0.12119 </t>
  </si>
  <si>
    <t>OEJV 0211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</si>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</sst>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trike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indexed="12"/>
      <name val="CourierNewPSM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5" fillId="0" borderId="2" applyNumberFormat="0" applyFont="0" applyFill="0" applyAlignment="0" applyProtection="0"/>
  </cellStyleXfs>
  <cellXfs count="7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right"/>
    </xf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0" fontId="13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2" fillId="2" borderId="12" xfId="7" applyFill="1" applyBorder="1" applyAlignment="1" applyProtection="1">
      <alignment horizontal="right" vertical="top" wrapText="1"/>
    </xf>
    <xf numFmtId="0" fontId="23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23" fillId="0" borderId="0" xfId="0" applyFont="1" applyAlignment="1">
      <alignment horizontal="center"/>
    </xf>
    <xf numFmtId="0" fontId="24" fillId="0" borderId="0" xfId="0" applyFont="1" applyAlignment="1"/>
    <xf numFmtId="0" fontId="18" fillId="0" borderId="0" xfId="8" applyFont="1"/>
    <xf numFmtId="0" fontId="18" fillId="0" borderId="0" xfId="8" applyFont="1" applyAlignment="1">
      <alignment horizontal="center"/>
    </xf>
    <xf numFmtId="0" fontId="18" fillId="0" borderId="0" xfId="8" applyFont="1" applyAlignment="1">
      <alignment horizontal="left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left"/>
    </xf>
    <xf numFmtId="0" fontId="6" fillId="0" borderId="0" xfId="0" applyFont="1" applyAlignment="1"/>
    <xf numFmtId="14" fontId="6" fillId="0" borderId="0" xfId="0" applyNumberFormat="1" applyFont="1" applyAlignment="1"/>
    <xf numFmtId="165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6" fillId="0" borderId="0" xfId="0" applyFont="1" applyAlignment="1">
      <alignment horizont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AU Dra - O-C Diagr.</a:t>
            </a:r>
          </a:p>
        </c:rich>
      </c:tx>
      <c:layout>
        <c:manualLayout>
          <c:xMode val="edge"/>
          <c:yMode val="edge"/>
          <c:x val="0.377668998271767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70960448353552"/>
          <c:y val="0.14769252958613219"/>
          <c:w val="0.79638879757542713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46953</c:v>
                </c:pt>
              </c:numCache>
            </c:numRef>
          </c:xVal>
          <c:yVal>
            <c:numRef>
              <c:f>Active!$H$21:$H$972</c:f>
              <c:numCache>
                <c:formatCode>General</c:formatCode>
                <c:ptCount val="95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45-4944-A860-967B09FDB50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Active!$D$21:$D$972</c:f>
                <c:numCache>
                  <c:formatCode>General</c:formatCode>
                  <c:ptCount val="95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1.5E-3</c:v>
                  </c:pt>
                  <c:pt idx="67">
                    <c:v>1.1000000000000001E-3</c:v>
                  </c:pt>
                  <c:pt idx="68">
                    <c:v>1.4E-3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5.0000000000000001E-4</c:v>
                  </c:pt>
                  <c:pt idx="74">
                    <c:v>2.9999999999999997E-4</c:v>
                  </c:pt>
                  <c:pt idx="75">
                    <c:v>1.1000000000000001E-3</c:v>
                  </c:pt>
                </c:numCache>
              </c:numRef>
            </c:plus>
            <c:minus>
              <c:numRef>
                <c:f>Active!$D$21:$D$972</c:f>
                <c:numCache>
                  <c:formatCode>General</c:formatCode>
                  <c:ptCount val="95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1.5E-3</c:v>
                  </c:pt>
                  <c:pt idx="67">
                    <c:v>1.1000000000000001E-3</c:v>
                  </c:pt>
                  <c:pt idx="68">
                    <c:v>1.4E-3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5.0000000000000001E-4</c:v>
                  </c:pt>
                  <c:pt idx="74">
                    <c:v>2.9999999999999997E-4</c:v>
                  </c:pt>
                  <c:pt idx="7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46953</c:v>
                </c:pt>
              </c:numCache>
            </c:numRef>
          </c:xVal>
          <c:yVal>
            <c:numRef>
              <c:f>Active!$I$21:$I$972</c:f>
              <c:numCache>
                <c:formatCode>General</c:formatCode>
                <c:ptCount val="952"/>
                <c:pt idx="2">
                  <c:v>-1.5674899994337466E-2</c:v>
                </c:pt>
                <c:pt idx="3">
                  <c:v>-1.7208359997312073E-2</c:v>
                </c:pt>
                <c:pt idx="4">
                  <c:v>-2.9876609994971659E-2</c:v>
                </c:pt>
                <c:pt idx="5">
                  <c:v>-3.4410069994919468E-2</c:v>
                </c:pt>
                <c:pt idx="6">
                  <c:v>-1.6943529990385287E-2</c:v>
                </c:pt>
                <c:pt idx="7">
                  <c:v>-2.1476989997609053E-2</c:v>
                </c:pt>
                <c:pt idx="8">
                  <c:v>-2.301045000058366E-2</c:v>
                </c:pt>
                <c:pt idx="9">
                  <c:v>-1.474397999845678E-2</c:v>
                </c:pt>
                <c:pt idx="10">
                  <c:v>-3.3479149999038782E-2</c:v>
                </c:pt>
                <c:pt idx="11">
                  <c:v>-1.4479149998805951E-2</c:v>
                </c:pt>
                <c:pt idx="13">
                  <c:v>-1.1687509992043488E-2</c:v>
                </c:pt>
                <c:pt idx="14">
                  <c:v>-1.068750999547774E-2</c:v>
                </c:pt>
                <c:pt idx="15">
                  <c:v>-9.6875099916360341E-3</c:v>
                </c:pt>
                <c:pt idx="16">
                  <c:v>-5.6875099908211268E-3</c:v>
                </c:pt>
                <c:pt idx="22">
                  <c:v>-1.9739294999453705E-2</c:v>
                </c:pt>
                <c:pt idx="25">
                  <c:v>-1.5660289776860736E-2</c:v>
                </c:pt>
                <c:pt idx="26">
                  <c:v>-1.4794130103837233E-2</c:v>
                </c:pt>
                <c:pt idx="28">
                  <c:v>-1.6294605207804125E-2</c:v>
                </c:pt>
                <c:pt idx="45">
                  <c:v>-2.3357259990007151E-2</c:v>
                </c:pt>
                <c:pt idx="61">
                  <c:v>-2.8034164999553468E-2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45-4944-A860-967B09FDB50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46953</c:v>
                </c:pt>
              </c:numCache>
            </c:numRef>
          </c:xVal>
          <c:yVal>
            <c:numRef>
              <c:f>Active!$J$21:$J$972</c:f>
              <c:numCache>
                <c:formatCode>General</c:formatCode>
                <c:ptCount val="952"/>
                <c:pt idx="32">
                  <c:v>-1.4514649992634077E-2</c:v>
                </c:pt>
                <c:pt idx="33">
                  <c:v>-1.622384499933105E-2</c:v>
                </c:pt>
                <c:pt idx="35">
                  <c:v>-1.782427999569336E-2</c:v>
                </c:pt>
                <c:pt idx="38">
                  <c:v>-1.9416279996221419E-2</c:v>
                </c:pt>
                <c:pt idx="40">
                  <c:v>-1.9424239995714743E-2</c:v>
                </c:pt>
                <c:pt idx="41">
                  <c:v>-1.9557604995497968E-2</c:v>
                </c:pt>
                <c:pt idx="46">
                  <c:v>-2.1967669992591254E-2</c:v>
                </c:pt>
                <c:pt idx="54">
                  <c:v>-2.2806559994933195E-2</c:v>
                </c:pt>
                <c:pt idx="65">
                  <c:v>-2.8978719994483981E-2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45-4944-A860-967B09FDB50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46953</c:v>
                </c:pt>
              </c:numCache>
            </c:numRef>
          </c:xVal>
          <c:yVal>
            <c:numRef>
              <c:f>Active!$K$21:$K$972</c:f>
              <c:numCache>
                <c:formatCode>General</c:formatCode>
                <c:ptCount val="952"/>
                <c:pt idx="1">
                  <c:v>-1.5074520088091958E-2</c:v>
                </c:pt>
                <c:pt idx="12">
                  <c:v>-1.4683710149256513E-2</c:v>
                </c:pt>
                <c:pt idx="17">
                  <c:v>-1.9037309997656848E-2</c:v>
                </c:pt>
                <c:pt idx="18">
                  <c:v>-1.6386930001317523E-2</c:v>
                </c:pt>
                <c:pt idx="19">
                  <c:v>-1.6420389998529572E-2</c:v>
                </c:pt>
                <c:pt idx="20">
                  <c:v>-1.5663539998058695E-2</c:v>
                </c:pt>
                <c:pt idx="21">
                  <c:v>-1.9739295188628603E-2</c:v>
                </c:pt>
                <c:pt idx="23">
                  <c:v>-1.408624501345912E-2</c:v>
                </c:pt>
                <c:pt idx="24">
                  <c:v>-2.1163950242529001E-2</c:v>
                </c:pt>
                <c:pt idx="27">
                  <c:v>-2.3496337792797299E-2</c:v>
                </c:pt>
                <c:pt idx="29">
                  <c:v>-2.5828725343065601E-2</c:v>
                </c:pt>
                <c:pt idx="30">
                  <c:v>-1.6600020040641539E-2</c:v>
                </c:pt>
                <c:pt idx="31">
                  <c:v>-1.7066844826331362E-2</c:v>
                </c:pt>
                <c:pt idx="34">
                  <c:v>-1.5890269998635631E-2</c:v>
                </c:pt>
                <c:pt idx="36">
                  <c:v>-1.7102409998187795E-2</c:v>
                </c:pt>
                <c:pt idx="37">
                  <c:v>-1.9841489993268624E-2</c:v>
                </c:pt>
                <c:pt idx="39">
                  <c:v>-2.2595360002014786E-2</c:v>
                </c:pt>
                <c:pt idx="42">
                  <c:v>-1.2198149997857399E-2</c:v>
                </c:pt>
                <c:pt idx="43">
                  <c:v>-1.8832959998690058E-2</c:v>
                </c:pt>
                <c:pt idx="44">
                  <c:v>-2.054757000587415E-2</c:v>
                </c:pt>
                <c:pt idx="47">
                  <c:v>-2.1101509999425616E-2</c:v>
                </c:pt>
                <c:pt idx="48">
                  <c:v>-2.0834874994761776E-2</c:v>
                </c:pt>
                <c:pt idx="49">
                  <c:v>-1.8057199995382689E-2</c:v>
                </c:pt>
                <c:pt idx="50">
                  <c:v>-1.2190565001219511E-2</c:v>
                </c:pt>
                <c:pt idx="51">
                  <c:v>-2.5275820000388194E-2</c:v>
                </c:pt>
                <c:pt idx="52">
                  <c:v>-3.6209184996550903E-2</c:v>
                </c:pt>
                <c:pt idx="53">
                  <c:v>-2.3353609998594038E-2</c:v>
                </c:pt>
                <c:pt idx="55">
                  <c:v>-2.6345760001277085E-2</c:v>
                </c:pt>
                <c:pt idx="56">
                  <c:v>-2.623576000041794E-2</c:v>
                </c:pt>
                <c:pt idx="57">
                  <c:v>-2.6115759996173438E-2</c:v>
                </c:pt>
                <c:pt idx="58">
                  <c:v>-2.877604999957839E-2</c:v>
                </c:pt>
                <c:pt idx="59">
                  <c:v>-2.862604999972973E-2</c:v>
                </c:pt>
                <c:pt idx="60">
                  <c:v>-2.8596049996849615E-2</c:v>
                </c:pt>
                <c:pt idx="62">
                  <c:v>-3.1567469995934516E-2</c:v>
                </c:pt>
                <c:pt idx="63">
                  <c:v>-3.1067469994013663E-2</c:v>
                </c:pt>
                <c:pt idx="64">
                  <c:v>-3.0117469999822788E-2</c:v>
                </c:pt>
                <c:pt idx="66">
                  <c:v>-2.829641499556601E-2</c:v>
                </c:pt>
                <c:pt idx="67">
                  <c:v>-2.739641499647405E-2</c:v>
                </c:pt>
                <c:pt idx="68">
                  <c:v>-2.6996414992026985E-2</c:v>
                </c:pt>
                <c:pt idx="69">
                  <c:v>-3.3017749999999069E-2</c:v>
                </c:pt>
                <c:pt idx="70">
                  <c:v>-3.1697750004241243E-2</c:v>
                </c:pt>
                <c:pt idx="71">
                  <c:v>-3.156775000388734E-2</c:v>
                </c:pt>
                <c:pt idx="72">
                  <c:v>-4.1689515033795033E-2</c:v>
                </c:pt>
                <c:pt idx="73">
                  <c:v>-4.0769515013380442E-2</c:v>
                </c:pt>
                <c:pt idx="74">
                  <c:v>-4.054951520083705E-2</c:v>
                </c:pt>
                <c:pt idx="75">
                  <c:v>-4.9973689994658343E-2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45-4944-A860-967B09FDB50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46953</c:v>
                </c:pt>
              </c:numCache>
            </c:numRef>
          </c:xVal>
          <c:yVal>
            <c:numRef>
              <c:f>Active!$L$21:$L$972</c:f>
              <c:numCache>
                <c:formatCode>General</c:formatCode>
                <c:ptCount val="9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45-4944-A860-967B09FDB50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46953</c:v>
                </c:pt>
              </c:numCache>
            </c:numRef>
          </c:xVal>
          <c:yVal>
            <c:numRef>
              <c:f>Active!$M$21:$M$972</c:f>
              <c:numCache>
                <c:formatCode>General</c:formatCode>
                <c:ptCount val="9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45-4944-A860-967B09FDB50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46953</c:v>
                </c:pt>
              </c:numCache>
            </c:numRef>
          </c:xVal>
          <c:yVal>
            <c:numRef>
              <c:f>Active!$N$21:$N$972</c:f>
              <c:numCache>
                <c:formatCode>General</c:formatCode>
                <c:ptCount val="9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45-4944-A860-967B09FDB50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46953</c:v>
                </c:pt>
              </c:numCache>
            </c:numRef>
          </c:xVal>
          <c:yVal>
            <c:numRef>
              <c:f>Active!$O$21:$O$972</c:f>
              <c:numCache>
                <c:formatCode>General</c:formatCode>
                <c:ptCount val="952"/>
                <c:pt idx="33">
                  <c:v>-1.6738599457294952E-2</c:v>
                </c:pt>
                <c:pt idx="35">
                  <c:v>-1.8334774201112632E-2</c:v>
                </c:pt>
                <c:pt idx="37">
                  <c:v>-1.8902738220385178E-2</c:v>
                </c:pt>
                <c:pt idx="38">
                  <c:v>-1.8937388545168382E-2</c:v>
                </c:pt>
                <c:pt idx="39">
                  <c:v>-1.9232669573755704E-2</c:v>
                </c:pt>
                <c:pt idx="40">
                  <c:v>-1.9919649925979263E-2</c:v>
                </c:pt>
                <c:pt idx="41">
                  <c:v>-1.9920403193909329E-2</c:v>
                </c:pt>
                <c:pt idx="42">
                  <c:v>-2.0171241414622537E-2</c:v>
                </c:pt>
                <c:pt idx="43">
                  <c:v>-2.0919989737111809E-2</c:v>
                </c:pt>
                <c:pt idx="44">
                  <c:v>-2.2060437383237326E-2</c:v>
                </c:pt>
                <c:pt idx="45">
                  <c:v>-2.229093736983865E-2</c:v>
                </c:pt>
                <c:pt idx="46">
                  <c:v>-2.4124391511628276E-2</c:v>
                </c:pt>
                <c:pt idx="47">
                  <c:v>-2.4136443798509391E-2</c:v>
                </c:pt>
                <c:pt idx="48">
                  <c:v>-2.4137197066439464E-2</c:v>
                </c:pt>
                <c:pt idx="49">
                  <c:v>-2.4668250957138593E-2</c:v>
                </c:pt>
                <c:pt idx="50">
                  <c:v>-2.4669004225068666E-2</c:v>
                </c:pt>
                <c:pt idx="51">
                  <c:v>-2.5111172500019575E-2</c:v>
                </c:pt>
                <c:pt idx="52">
                  <c:v>-2.5111925767949642E-2</c:v>
                </c:pt>
                <c:pt idx="53">
                  <c:v>-2.5296476410816719E-2</c:v>
                </c:pt>
                <c:pt idx="54">
                  <c:v>-2.7428224652913946E-2</c:v>
                </c:pt>
                <c:pt idx="55">
                  <c:v>-2.8995021947458906E-2</c:v>
                </c:pt>
                <c:pt idx="56">
                  <c:v>-2.8995021947458906E-2</c:v>
                </c:pt>
                <c:pt idx="57">
                  <c:v>-2.8995021947458906E-2</c:v>
                </c:pt>
                <c:pt idx="58">
                  <c:v>-2.9556959823290894E-2</c:v>
                </c:pt>
                <c:pt idx="59">
                  <c:v>-2.9556959823290894E-2</c:v>
                </c:pt>
                <c:pt idx="60">
                  <c:v>-2.9556959823290894E-2</c:v>
                </c:pt>
                <c:pt idx="62">
                  <c:v>-3.0542234275822054E-2</c:v>
                </c:pt>
                <c:pt idx="63">
                  <c:v>-3.0542234275822054E-2</c:v>
                </c:pt>
                <c:pt idx="64">
                  <c:v>-3.0542234275822054E-2</c:v>
                </c:pt>
                <c:pt idx="65">
                  <c:v>-3.0730551258339477E-2</c:v>
                </c:pt>
                <c:pt idx="66">
                  <c:v>-3.0913595365346408E-2</c:v>
                </c:pt>
                <c:pt idx="67">
                  <c:v>-3.0913595365346408E-2</c:v>
                </c:pt>
                <c:pt idx="68">
                  <c:v>-3.0913595365346408E-2</c:v>
                </c:pt>
                <c:pt idx="69">
                  <c:v>-3.3006926943010086E-2</c:v>
                </c:pt>
                <c:pt idx="70">
                  <c:v>-3.3006926943010086E-2</c:v>
                </c:pt>
                <c:pt idx="71">
                  <c:v>-3.3006926943010086E-2</c:v>
                </c:pt>
                <c:pt idx="72">
                  <c:v>-3.6141274800030064E-2</c:v>
                </c:pt>
                <c:pt idx="73">
                  <c:v>-3.6141274800030064E-2</c:v>
                </c:pt>
                <c:pt idx="74">
                  <c:v>-3.6141274800030064E-2</c:v>
                </c:pt>
                <c:pt idx="75">
                  <c:v>-4.1711691142895434E-2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45-4944-A860-967B09FDB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381352"/>
        <c:axId val="1"/>
      </c:scatterChart>
      <c:valAx>
        <c:axId val="720381352"/>
        <c:scaling>
          <c:orientation val="minMax"/>
          <c:min val="2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73649414512847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90311986863711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381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46504100780506"/>
          <c:y val="0.92000129214617399"/>
          <c:w val="0.68637213451766799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AU Dra - O-C Diagr.</a:t>
            </a:r>
          </a:p>
        </c:rich>
      </c:tx>
      <c:layout>
        <c:manualLayout>
          <c:xMode val="edge"/>
          <c:yMode val="edge"/>
          <c:x val="0.3770495245471365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45913843104703"/>
          <c:y val="0.14723926380368099"/>
          <c:w val="0.79672194922031025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46953</c:v>
                </c:pt>
              </c:numCache>
            </c:numRef>
          </c:xVal>
          <c:yVal>
            <c:numRef>
              <c:f>Active!$H$21:$H$972</c:f>
              <c:numCache>
                <c:formatCode>General</c:formatCode>
                <c:ptCount val="95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97-4991-852A-4B995F63814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Active!$D$21:$D$972</c:f>
                <c:numCache>
                  <c:formatCode>General</c:formatCode>
                  <c:ptCount val="95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1.5E-3</c:v>
                  </c:pt>
                  <c:pt idx="67">
                    <c:v>1.1000000000000001E-3</c:v>
                  </c:pt>
                  <c:pt idx="68">
                    <c:v>1.4E-3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5.0000000000000001E-4</c:v>
                  </c:pt>
                  <c:pt idx="74">
                    <c:v>2.9999999999999997E-4</c:v>
                  </c:pt>
                  <c:pt idx="75">
                    <c:v>1.1000000000000001E-3</c:v>
                  </c:pt>
                </c:numCache>
              </c:numRef>
            </c:plus>
            <c:minus>
              <c:numRef>
                <c:f>Active!$D$21:$D$972</c:f>
                <c:numCache>
                  <c:formatCode>General</c:formatCode>
                  <c:ptCount val="95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1.5E-3</c:v>
                  </c:pt>
                  <c:pt idx="67">
                    <c:v>1.1000000000000001E-3</c:v>
                  </c:pt>
                  <c:pt idx="68">
                    <c:v>1.4E-3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5.0000000000000001E-4</c:v>
                  </c:pt>
                  <c:pt idx="74">
                    <c:v>2.9999999999999997E-4</c:v>
                  </c:pt>
                  <c:pt idx="7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46953</c:v>
                </c:pt>
              </c:numCache>
            </c:numRef>
          </c:xVal>
          <c:yVal>
            <c:numRef>
              <c:f>Active!$I$21:$I$972</c:f>
              <c:numCache>
                <c:formatCode>General</c:formatCode>
                <c:ptCount val="952"/>
                <c:pt idx="2">
                  <c:v>-1.5674899994337466E-2</c:v>
                </c:pt>
                <c:pt idx="3">
                  <c:v>-1.7208359997312073E-2</c:v>
                </c:pt>
                <c:pt idx="4">
                  <c:v>-2.9876609994971659E-2</c:v>
                </c:pt>
                <c:pt idx="5">
                  <c:v>-3.4410069994919468E-2</c:v>
                </c:pt>
                <c:pt idx="6">
                  <c:v>-1.6943529990385287E-2</c:v>
                </c:pt>
                <c:pt idx="7">
                  <c:v>-2.1476989997609053E-2</c:v>
                </c:pt>
                <c:pt idx="8">
                  <c:v>-2.301045000058366E-2</c:v>
                </c:pt>
                <c:pt idx="9">
                  <c:v>-1.474397999845678E-2</c:v>
                </c:pt>
                <c:pt idx="10">
                  <c:v>-3.3479149999038782E-2</c:v>
                </c:pt>
                <c:pt idx="11">
                  <c:v>-1.4479149998805951E-2</c:v>
                </c:pt>
                <c:pt idx="13">
                  <c:v>-1.1687509992043488E-2</c:v>
                </c:pt>
                <c:pt idx="14">
                  <c:v>-1.068750999547774E-2</c:v>
                </c:pt>
                <c:pt idx="15">
                  <c:v>-9.6875099916360341E-3</c:v>
                </c:pt>
                <c:pt idx="16">
                  <c:v>-5.6875099908211268E-3</c:v>
                </c:pt>
                <c:pt idx="22">
                  <c:v>-1.9739294999453705E-2</c:v>
                </c:pt>
                <c:pt idx="25">
                  <c:v>-1.5660289776860736E-2</c:v>
                </c:pt>
                <c:pt idx="26">
                  <c:v>-1.4794130103837233E-2</c:v>
                </c:pt>
                <c:pt idx="28">
                  <c:v>-1.6294605207804125E-2</c:v>
                </c:pt>
                <c:pt idx="45">
                  <c:v>-2.3357259990007151E-2</c:v>
                </c:pt>
                <c:pt idx="61">
                  <c:v>-2.8034164999553468E-2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97-4991-852A-4B995F63814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46953</c:v>
                </c:pt>
              </c:numCache>
            </c:numRef>
          </c:xVal>
          <c:yVal>
            <c:numRef>
              <c:f>Active!$J$21:$J$972</c:f>
              <c:numCache>
                <c:formatCode>General</c:formatCode>
                <c:ptCount val="952"/>
                <c:pt idx="32">
                  <c:v>-1.4514649992634077E-2</c:v>
                </c:pt>
                <c:pt idx="33">
                  <c:v>-1.622384499933105E-2</c:v>
                </c:pt>
                <c:pt idx="35">
                  <c:v>-1.782427999569336E-2</c:v>
                </c:pt>
                <c:pt idx="38">
                  <c:v>-1.9416279996221419E-2</c:v>
                </c:pt>
                <c:pt idx="40">
                  <c:v>-1.9424239995714743E-2</c:v>
                </c:pt>
                <c:pt idx="41">
                  <c:v>-1.9557604995497968E-2</c:v>
                </c:pt>
                <c:pt idx="46">
                  <c:v>-2.1967669992591254E-2</c:v>
                </c:pt>
                <c:pt idx="54">
                  <c:v>-2.2806559994933195E-2</c:v>
                </c:pt>
                <c:pt idx="65">
                  <c:v>-2.8978719994483981E-2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97-4991-852A-4B995F63814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46953</c:v>
                </c:pt>
              </c:numCache>
            </c:numRef>
          </c:xVal>
          <c:yVal>
            <c:numRef>
              <c:f>Active!$K$21:$K$972</c:f>
              <c:numCache>
                <c:formatCode>General</c:formatCode>
                <c:ptCount val="952"/>
                <c:pt idx="1">
                  <c:v>-1.5074520088091958E-2</c:v>
                </c:pt>
                <c:pt idx="12">
                  <c:v>-1.4683710149256513E-2</c:v>
                </c:pt>
                <c:pt idx="17">
                  <c:v>-1.9037309997656848E-2</c:v>
                </c:pt>
                <c:pt idx="18">
                  <c:v>-1.6386930001317523E-2</c:v>
                </c:pt>
                <c:pt idx="19">
                  <c:v>-1.6420389998529572E-2</c:v>
                </c:pt>
                <c:pt idx="20">
                  <c:v>-1.5663539998058695E-2</c:v>
                </c:pt>
                <c:pt idx="21">
                  <c:v>-1.9739295188628603E-2</c:v>
                </c:pt>
                <c:pt idx="23">
                  <c:v>-1.408624501345912E-2</c:v>
                </c:pt>
                <c:pt idx="24">
                  <c:v>-2.1163950242529001E-2</c:v>
                </c:pt>
                <c:pt idx="27">
                  <c:v>-2.3496337792797299E-2</c:v>
                </c:pt>
                <c:pt idx="29">
                  <c:v>-2.5828725343065601E-2</c:v>
                </c:pt>
                <c:pt idx="30">
                  <c:v>-1.6600020040641539E-2</c:v>
                </c:pt>
                <c:pt idx="31">
                  <c:v>-1.7066844826331362E-2</c:v>
                </c:pt>
                <c:pt idx="34">
                  <c:v>-1.5890269998635631E-2</c:v>
                </c:pt>
                <c:pt idx="36">
                  <c:v>-1.7102409998187795E-2</c:v>
                </c:pt>
                <c:pt idx="37">
                  <c:v>-1.9841489993268624E-2</c:v>
                </c:pt>
                <c:pt idx="39">
                  <c:v>-2.2595360002014786E-2</c:v>
                </c:pt>
                <c:pt idx="42">
                  <c:v>-1.2198149997857399E-2</c:v>
                </c:pt>
                <c:pt idx="43">
                  <c:v>-1.8832959998690058E-2</c:v>
                </c:pt>
                <c:pt idx="44">
                  <c:v>-2.054757000587415E-2</c:v>
                </c:pt>
                <c:pt idx="47">
                  <c:v>-2.1101509999425616E-2</c:v>
                </c:pt>
                <c:pt idx="48">
                  <c:v>-2.0834874994761776E-2</c:v>
                </c:pt>
                <c:pt idx="49">
                  <c:v>-1.8057199995382689E-2</c:v>
                </c:pt>
                <c:pt idx="50">
                  <c:v>-1.2190565001219511E-2</c:v>
                </c:pt>
                <c:pt idx="51">
                  <c:v>-2.5275820000388194E-2</c:v>
                </c:pt>
                <c:pt idx="52">
                  <c:v>-3.6209184996550903E-2</c:v>
                </c:pt>
                <c:pt idx="53">
                  <c:v>-2.3353609998594038E-2</c:v>
                </c:pt>
                <c:pt idx="55">
                  <c:v>-2.6345760001277085E-2</c:v>
                </c:pt>
                <c:pt idx="56">
                  <c:v>-2.623576000041794E-2</c:v>
                </c:pt>
                <c:pt idx="57">
                  <c:v>-2.6115759996173438E-2</c:v>
                </c:pt>
                <c:pt idx="58">
                  <c:v>-2.877604999957839E-2</c:v>
                </c:pt>
                <c:pt idx="59">
                  <c:v>-2.862604999972973E-2</c:v>
                </c:pt>
                <c:pt idx="60">
                  <c:v>-2.8596049996849615E-2</c:v>
                </c:pt>
                <c:pt idx="62">
                  <c:v>-3.1567469995934516E-2</c:v>
                </c:pt>
                <c:pt idx="63">
                  <c:v>-3.1067469994013663E-2</c:v>
                </c:pt>
                <c:pt idx="64">
                  <c:v>-3.0117469999822788E-2</c:v>
                </c:pt>
                <c:pt idx="66">
                  <c:v>-2.829641499556601E-2</c:v>
                </c:pt>
                <c:pt idx="67">
                  <c:v>-2.739641499647405E-2</c:v>
                </c:pt>
                <c:pt idx="68">
                  <c:v>-2.6996414992026985E-2</c:v>
                </c:pt>
                <c:pt idx="69">
                  <c:v>-3.3017749999999069E-2</c:v>
                </c:pt>
                <c:pt idx="70">
                  <c:v>-3.1697750004241243E-2</c:v>
                </c:pt>
                <c:pt idx="71">
                  <c:v>-3.156775000388734E-2</c:v>
                </c:pt>
                <c:pt idx="72">
                  <c:v>-4.1689515033795033E-2</c:v>
                </c:pt>
                <c:pt idx="73">
                  <c:v>-4.0769515013380442E-2</c:v>
                </c:pt>
                <c:pt idx="74">
                  <c:v>-4.054951520083705E-2</c:v>
                </c:pt>
                <c:pt idx="75">
                  <c:v>-4.9973689994658343E-2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97-4991-852A-4B995F63814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46953</c:v>
                </c:pt>
              </c:numCache>
            </c:numRef>
          </c:xVal>
          <c:yVal>
            <c:numRef>
              <c:f>Active!$L$21:$L$972</c:f>
              <c:numCache>
                <c:formatCode>General</c:formatCode>
                <c:ptCount val="9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97-4991-852A-4B995F63814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46953</c:v>
                </c:pt>
              </c:numCache>
            </c:numRef>
          </c:xVal>
          <c:yVal>
            <c:numRef>
              <c:f>Active!$M$21:$M$972</c:f>
              <c:numCache>
                <c:formatCode>General</c:formatCode>
                <c:ptCount val="9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97-4991-852A-4B995F63814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46953</c:v>
                </c:pt>
              </c:numCache>
            </c:numRef>
          </c:xVal>
          <c:yVal>
            <c:numRef>
              <c:f>Active!$N$21:$N$972</c:f>
              <c:numCache>
                <c:formatCode>General</c:formatCode>
                <c:ptCount val="9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97-4991-852A-4B995F63814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46953</c:v>
                </c:pt>
              </c:numCache>
            </c:numRef>
          </c:xVal>
          <c:yVal>
            <c:numRef>
              <c:f>Active!$O$21:$O$972</c:f>
              <c:numCache>
                <c:formatCode>General</c:formatCode>
                <c:ptCount val="952"/>
                <c:pt idx="33">
                  <c:v>-1.6738599457294952E-2</c:v>
                </c:pt>
                <c:pt idx="35">
                  <c:v>-1.8334774201112632E-2</c:v>
                </c:pt>
                <c:pt idx="37">
                  <c:v>-1.8902738220385178E-2</c:v>
                </c:pt>
                <c:pt idx="38">
                  <c:v>-1.8937388545168382E-2</c:v>
                </c:pt>
                <c:pt idx="39">
                  <c:v>-1.9232669573755704E-2</c:v>
                </c:pt>
                <c:pt idx="40">
                  <c:v>-1.9919649925979263E-2</c:v>
                </c:pt>
                <c:pt idx="41">
                  <c:v>-1.9920403193909329E-2</c:v>
                </c:pt>
                <c:pt idx="42">
                  <c:v>-2.0171241414622537E-2</c:v>
                </c:pt>
                <c:pt idx="43">
                  <c:v>-2.0919989737111809E-2</c:v>
                </c:pt>
                <c:pt idx="44">
                  <c:v>-2.2060437383237326E-2</c:v>
                </c:pt>
                <c:pt idx="45">
                  <c:v>-2.229093736983865E-2</c:v>
                </c:pt>
                <c:pt idx="46">
                  <c:v>-2.4124391511628276E-2</c:v>
                </c:pt>
                <c:pt idx="47">
                  <c:v>-2.4136443798509391E-2</c:v>
                </c:pt>
                <c:pt idx="48">
                  <c:v>-2.4137197066439464E-2</c:v>
                </c:pt>
                <c:pt idx="49">
                  <c:v>-2.4668250957138593E-2</c:v>
                </c:pt>
                <c:pt idx="50">
                  <c:v>-2.4669004225068666E-2</c:v>
                </c:pt>
                <c:pt idx="51">
                  <c:v>-2.5111172500019575E-2</c:v>
                </c:pt>
                <c:pt idx="52">
                  <c:v>-2.5111925767949642E-2</c:v>
                </c:pt>
                <c:pt idx="53">
                  <c:v>-2.5296476410816719E-2</c:v>
                </c:pt>
                <c:pt idx="54">
                  <c:v>-2.7428224652913946E-2</c:v>
                </c:pt>
                <c:pt idx="55">
                  <c:v>-2.8995021947458906E-2</c:v>
                </c:pt>
                <c:pt idx="56">
                  <c:v>-2.8995021947458906E-2</c:v>
                </c:pt>
                <c:pt idx="57">
                  <c:v>-2.8995021947458906E-2</c:v>
                </c:pt>
                <c:pt idx="58">
                  <c:v>-2.9556959823290894E-2</c:v>
                </c:pt>
                <c:pt idx="59">
                  <c:v>-2.9556959823290894E-2</c:v>
                </c:pt>
                <c:pt idx="60">
                  <c:v>-2.9556959823290894E-2</c:v>
                </c:pt>
                <c:pt idx="62">
                  <c:v>-3.0542234275822054E-2</c:v>
                </c:pt>
                <c:pt idx="63">
                  <c:v>-3.0542234275822054E-2</c:v>
                </c:pt>
                <c:pt idx="64">
                  <c:v>-3.0542234275822054E-2</c:v>
                </c:pt>
                <c:pt idx="65">
                  <c:v>-3.0730551258339477E-2</c:v>
                </c:pt>
                <c:pt idx="66">
                  <c:v>-3.0913595365346408E-2</c:v>
                </c:pt>
                <c:pt idx="67">
                  <c:v>-3.0913595365346408E-2</c:v>
                </c:pt>
                <c:pt idx="68">
                  <c:v>-3.0913595365346408E-2</c:v>
                </c:pt>
                <c:pt idx="69">
                  <c:v>-3.3006926943010086E-2</c:v>
                </c:pt>
                <c:pt idx="70">
                  <c:v>-3.3006926943010086E-2</c:v>
                </c:pt>
                <c:pt idx="71">
                  <c:v>-3.3006926943010086E-2</c:v>
                </c:pt>
                <c:pt idx="72">
                  <c:v>-3.6141274800030064E-2</c:v>
                </c:pt>
                <c:pt idx="73">
                  <c:v>-3.6141274800030064E-2</c:v>
                </c:pt>
                <c:pt idx="74">
                  <c:v>-3.6141274800030064E-2</c:v>
                </c:pt>
                <c:pt idx="75">
                  <c:v>-4.1711691142895434E-2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97-4991-852A-4B995F638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384952"/>
        <c:axId val="1"/>
      </c:scatterChart>
      <c:valAx>
        <c:axId val="72038495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50854094057909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19672131147541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384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475427047028955"/>
          <c:y val="0.92024539877300615"/>
          <c:w val="0.6852464179682458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AU Dra - O-C Diagr.</a:t>
            </a:r>
          </a:p>
        </c:rich>
      </c:tx>
      <c:layout>
        <c:manualLayout>
          <c:xMode val="edge"/>
          <c:yMode val="edge"/>
          <c:x val="0.34504175614411831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953316519776211"/>
          <c:w val="0.7623974633561702"/>
          <c:h val="0.62305485499067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29048.5</c:v>
                </c:pt>
                <c:pt idx="2">
                  <c:v>29263.5</c:v>
                </c:pt>
                <c:pt idx="3">
                  <c:v>29380</c:v>
                </c:pt>
                <c:pt idx="4">
                  <c:v>29388</c:v>
                </c:pt>
                <c:pt idx="5">
                  <c:v>29395.5</c:v>
                </c:pt>
                <c:pt idx="6">
                  <c:v>29481</c:v>
                </c:pt>
                <c:pt idx="7">
                  <c:v>29483.5</c:v>
                </c:pt>
                <c:pt idx="8">
                  <c:v>29712.5</c:v>
                </c:pt>
                <c:pt idx="9">
                  <c:v>32496.5</c:v>
                </c:pt>
                <c:pt idx="10">
                  <c:v>30384</c:v>
                </c:pt>
                <c:pt idx="11">
                  <c:v>124</c:v>
                </c:pt>
                <c:pt idx="12">
                  <c:v>23432.5</c:v>
                </c:pt>
                <c:pt idx="13">
                  <c:v>29048.5</c:v>
                </c:pt>
                <c:pt idx="14">
                  <c:v>29263.5</c:v>
                </c:pt>
                <c:pt idx="15">
                  <c:v>29380</c:v>
                </c:pt>
                <c:pt idx="16">
                  <c:v>29388</c:v>
                </c:pt>
                <c:pt idx="17">
                  <c:v>29395.5</c:v>
                </c:pt>
                <c:pt idx="18">
                  <c:v>29481</c:v>
                </c:pt>
                <c:pt idx="19">
                  <c:v>29483.5</c:v>
                </c:pt>
                <c:pt idx="20">
                  <c:v>23753</c:v>
                </c:pt>
                <c:pt idx="21">
                  <c:v>28748</c:v>
                </c:pt>
                <c:pt idx="22">
                  <c:v>28750</c:v>
                </c:pt>
                <c:pt idx="23">
                  <c:v>28905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D8-4494-9B85-25C140ADC370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29048.5</c:v>
                </c:pt>
                <c:pt idx="2">
                  <c:v>29263.5</c:v>
                </c:pt>
                <c:pt idx="3">
                  <c:v>29380</c:v>
                </c:pt>
                <c:pt idx="4">
                  <c:v>29388</c:v>
                </c:pt>
                <c:pt idx="5">
                  <c:v>29395.5</c:v>
                </c:pt>
                <c:pt idx="6">
                  <c:v>29481</c:v>
                </c:pt>
                <c:pt idx="7">
                  <c:v>29483.5</c:v>
                </c:pt>
                <c:pt idx="8">
                  <c:v>29712.5</c:v>
                </c:pt>
                <c:pt idx="9">
                  <c:v>32496.5</c:v>
                </c:pt>
                <c:pt idx="10">
                  <c:v>30384</c:v>
                </c:pt>
                <c:pt idx="11">
                  <c:v>124</c:v>
                </c:pt>
                <c:pt idx="12">
                  <c:v>23432.5</c:v>
                </c:pt>
                <c:pt idx="13">
                  <c:v>29048.5</c:v>
                </c:pt>
                <c:pt idx="14">
                  <c:v>29263.5</c:v>
                </c:pt>
                <c:pt idx="15">
                  <c:v>29380</c:v>
                </c:pt>
                <c:pt idx="16">
                  <c:v>29388</c:v>
                </c:pt>
                <c:pt idx="17">
                  <c:v>29395.5</c:v>
                </c:pt>
                <c:pt idx="18">
                  <c:v>29481</c:v>
                </c:pt>
                <c:pt idx="19">
                  <c:v>29483.5</c:v>
                </c:pt>
                <c:pt idx="20">
                  <c:v>23753</c:v>
                </c:pt>
                <c:pt idx="21">
                  <c:v>28748</c:v>
                </c:pt>
                <c:pt idx="22">
                  <c:v>28750</c:v>
                </c:pt>
                <c:pt idx="23">
                  <c:v>28905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5.4709999996703118E-2</c:v>
                </c:pt>
                <c:pt idx="2">
                  <c:v>8.7610000002314337E-2</c:v>
                </c:pt>
                <c:pt idx="3">
                  <c:v>0.10080000000016298</c:v>
                </c:pt>
                <c:pt idx="4">
                  <c:v>0.10268000000360189</c:v>
                </c:pt>
                <c:pt idx="5">
                  <c:v>0.10212999999930616</c:v>
                </c:pt>
                <c:pt idx="6">
                  <c:v>0.11265999999886844</c:v>
                </c:pt>
                <c:pt idx="7">
                  <c:v>0.11250999999901978</c:v>
                </c:pt>
                <c:pt idx="8">
                  <c:v>-0.11354999999457505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D8-4494-9B85-25C140ADC370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29048.5</c:v>
                </c:pt>
                <c:pt idx="2">
                  <c:v>29263.5</c:v>
                </c:pt>
                <c:pt idx="3">
                  <c:v>29380</c:v>
                </c:pt>
                <c:pt idx="4">
                  <c:v>29388</c:v>
                </c:pt>
                <c:pt idx="5">
                  <c:v>29395.5</c:v>
                </c:pt>
                <c:pt idx="6">
                  <c:v>29481</c:v>
                </c:pt>
                <c:pt idx="7">
                  <c:v>29483.5</c:v>
                </c:pt>
                <c:pt idx="8">
                  <c:v>29712.5</c:v>
                </c:pt>
                <c:pt idx="9">
                  <c:v>32496.5</c:v>
                </c:pt>
                <c:pt idx="10">
                  <c:v>30384</c:v>
                </c:pt>
                <c:pt idx="11">
                  <c:v>124</c:v>
                </c:pt>
                <c:pt idx="12">
                  <c:v>23432.5</c:v>
                </c:pt>
                <c:pt idx="13">
                  <c:v>29048.5</c:v>
                </c:pt>
                <c:pt idx="14">
                  <c:v>29263.5</c:v>
                </c:pt>
                <c:pt idx="15">
                  <c:v>29380</c:v>
                </c:pt>
                <c:pt idx="16">
                  <c:v>29388</c:v>
                </c:pt>
                <c:pt idx="17">
                  <c:v>29395.5</c:v>
                </c:pt>
                <c:pt idx="18">
                  <c:v>29481</c:v>
                </c:pt>
                <c:pt idx="19">
                  <c:v>29483.5</c:v>
                </c:pt>
                <c:pt idx="20">
                  <c:v>23753</c:v>
                </c:pt>
                <c:pt idx="21">
                  <c:v>28748</c:v>
                </c:pt>
                <c:pt idx="22">
                  <c:v>28750</c:v>
                </c:pt>
                <c:pt idx="23">
                  <c:v>28905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9">
                  <c:v>-2.3410000001604203E-2</c:v>
                </c:pt>
                <c:pt idx="10">
                  <c:v>-3.0160000002069864E-2</c:v>
                </c:pt>
                <c:pt idx="11">
                  <c:v>6.3999991107266396E-4</c:v>
                </c:pt>
                <c:pt idx="12">
                  <c:v>0.12094999985129107</c:v>
                </c:pt>
                <c:pt idx="13">
                  <c:v>5.470999980752822E-2</c:v>
                </c:pt>
                <c:pt idx="14">
                  <c:v>8.7609999987762421E-2</c:v>
                </c:pt>
                <c:pt idx="15">
                  <c:v>0.10080000021844171</c:v>
                </c:pt>
                <c:pt idx="16">
                  <c:v>0.10267999989446253</c:v>
                </c:pt>
                <c:pt idx="17">
                  <c:v>0.10212999978830339</c:v>
                </c:pt>
                <c:pt idx="18">
                  <c:v>0.1126599999552127</c:v>
                </c:pt>
                <c:pt idx="19">
                  <c:v>0.11251000017364277</c:v>
                </c:pt>
                <c:pt idx="20">
                  <c:v>-0.10041999999521067</c:v>
                </c:pt>
                <c:pt idx="21">
                  <c:v>1.9979999997303821E-2</c:v>
                </c:pt>
                <c:pt idx="22">
                  <c:v>2.0199999999022111E-2</c:v>
                </c:pt>
                <c:pt idx="23">
                  <c:v>4.0600000000267755E-2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D8-4494-9B85-25C140ADC370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29048.5</c:v>
                </c:pt>
                <c:pt idx="2">
                  <c:v>29263.5</c:v>
                </c:pt>
                <c:pt idx="3">
                  <c:v>29380</c:v>
                </c:pt>
                <c:pt idx="4">
                  <c:v>29388</c:v>
                </c:pt>
                <c:pt idx="5">
                  <c:v>29395.5</c:v>
                </c:pt>
                <c:pt idx="6">
                  <c:v>29481</c:v>
                </c:pt>
                <c:pt idx="7">
                  <c:v>29483.5</c:v>
                </c:pt>
                <c:pt idx="8">
                  <c:v>29712.5</c:v>
                </c:pt>
                <c:pt idx="9">
                  <c:v>32496.5</c:v>
                </c:pt>
                <c:pt idx="10">
                  <c:v>30384</c:v>
                </c:pt>
                <c:pt idx="11">
                  <c:v>124</c:v>
                </c:pt>
                <c:pt idx="12">
                  <c:v>23432.5</c:v>
                </c:pt>
                <c:pt idx="13">
                  <c:v>29048.5</c:v>
                </c:pt>
                <c:pt idx="14">
                  <c:v>29263.5</c:v>
                </c:pt>
                <c:pt idx="15">
                  <c:v>29380</c:v>
                </c:pt>
                <c:pt idx="16">
                  <c:v>29388</c:v>
                </c:pt>
                <c:pt idx="17">
                  <c:v>29395.5</c:v>
                </c:pt>
                <c:pt idx="18">
                  <c:v>29481</c:v>
                </c:pt>
                <c:pt idx="19">
                  <c:v>29483.5</c:v>
                </c:pt>
                <c:pt idx="20">
                  <c:v>23753</c:v>
                </c:pt>
                <c:pt idx="21">
                  <c:v>28748</c:v>
                </c:pt>
                <c:pt idx="22">
                  <c:v>28750</c:v>
                </c:pt>
                <c:pt idx="23">
                  <c:v>28905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D8-4494-9B85-25C140ADC370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29048.5</c:v>
                </c:pt>
                <c:pt idx="2">
                  <c:v>29263.5</c:v>
                </c:pt>
                <c:pt idx="3">
                  <c:v>29380</c:v>
                </c:pt>
                <c:pt idx="4">
                  <c:v>29388</c:v>
                </c:pt>
                <c:pt idx="5">
                  <c:v>29395.5</c:v>
                </c:pt>
                <c:pt idx="6">
                  <c:v>29481</c:v>
                </c:pt>
                <c:pt idx="7">
                  <c:v>29483.5</c:v>
                </c:pt>
                <c:pt idx="8">
                  <c:v>29712.5</c:v>
                </c:pt>
                <c:pt idx="9">
                  <c:v>32496.5</c:v>
                </c:pt>
                <c:pt idx="10">
                  <c:v>30384</c:v>
                </c:pt>
                <c:pt idx="11">
                  <c:v>124</c:v>
                </c:pt>
                <c:pt idx="12">
                  <c:v>23432.5</c:v>
                </c:pt>
                <c:pt idx="13">
                  <c:v>29048.5</c:v>
                </c:pt>
                <c:pt idx="14">
                  <c:v>29263.5</c:v>
                </c:pt>
                <c:pt idx="15">
                  <c:v>29380</c:v>
                </c:pt>
                <c:pt idx="16">
                  <c:v>29388</c:v>
                </c:pt>
                <c:pt idx="17">
                  <c:v>29395.5</c:v>
                </c:pt>
                <c:pt idx="18">
                  <c:v>29481</c:v>
                </c:pt>
                <c:pt idx="19">
                  <c:v>29483.5</c:v>
                </c:pt>
                <c:pt idx="20">
                  <c:v>23753</c:v>
                </c:pt>
                <c:pt idx="21">
                  <c:v>28748</c:v>
                </c:pt>
                <c:pt idx="22">
                  <c:v>28750</c:v>
                </c:pt>
                <c:pt idx="23">
                  <c:v>28905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D8-4494-9B85-25C140ADC370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29048.5</c:v>
                </c:pt>
                <c:pt idx="2">
                  <c:v>29263.5</c:v>
                </c:pt>
                <c:pt idx="3">
                  <c:v>29380</c:v>
                </c:pt>
                <c:pt idx="4">
                  <c:v>29388</c:v>
                </c:pt>
                <c:pt idx="5">
                  <c:v>29395.5</c:v>
                </c:pt>
                <c:pt idx="6">
                  <c:v>29481</c:v>
                </c:pt>
                <c:pt idx="7">
                  <c:v>29483.5</c:v>
                </c:pt>
                <c:pt idx="8">
                  <c:v>29712.5</c:v>
                </c:pt>
                <c:pt idx="9">
                  <c:v>32496.5</c:v>
                </c:pt>
                <c:pt idx="10">
                  <c:v>30384</c:v>
                </c:pt>
                <c:pt idx="11">
                  <c:v>124</c:v>
                </c:pt>
                <c:pt idx="12">
                  <c:v>23432.5</c:v>
                </c:pt>
                <c:pt idx="13">
                  <c:v>29048.5</c:v>
                </c:pt>
                <c:pt idx="14">
                  <c:v>29263.5</c:v>
                </c:pt>
                <c:pt idx="15">
                  <c:v>29380</c:v>
                </c:pt>
                <c:pt idx="16">
                  <c:v>29388</c:v>
                </c:pt>
                <c:pt idx="17">
                  <c:v>29395.5</c:v>
                </c:pt>
                <c:pt idx="18">
                  <c:v>29481</c:v>
                </c:pt>
                <c:pt idx="19">
                  <c:v>29483.5</c:v>
                </c:pt>
                <c:pt idx="20">
                  <c:v>23753</c:v>
                </c:pt>
                <c:pt idx="21">
                  <c:v>28748</c:v>
                </c:pt>
                <c:pt idx="22">
                  <c:v>28750</c:v>
                </c:pt>
                <c:pt idx="23">
                  <c:v>28905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D8-4494-9B85-25C140ADC370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29048.5</c:v>
                </c:pt>
                <c:pt idx="2">
                  <c:v>29263.5</c:v>
                </c:pt>
                <c:pt idx="3">
                  <c:v>29380</c:v>
                </c:pt>
                <c:pt idx="4">
                  <c:v>29388</c:v>
                </c:pt>
                <c:pt idx="5">
                  <c:v>29395.5</c:v>
                </c:pt>
                <c:pt idx="6">
                  <c:v>29481</c:v>
                </c:pt>
                <c:pt idx="7">
                  <c:v>29483.5</c:v>
                </c:pt>
                <c:pt idx="8">
                  <c:v>29712.5</c:v>
                </c:pt>
                <c:pt idx="9">
                  <c:v>32496.5</c:v>
                </c:pt>
                <c:pt idx="10">
                  <c:v>30384</c:v>
                </c:pt>
                <c:pt idx="11">
                  <c:v>124</c:v>
                </c:pt>
                <c:pt idx="12">
                  <c:v>23432.5</c:v>
                </c:pt>
                <c:pt idx="13">
                  <c:v>29048.5</c:v>
                </c:pt>
                <c:pt idx="14">
                  <c:v>29263.5</c:v>
                </c:pt>
                <c:pt idx="15">
                  <c:v>29380</c:v>
                </c:pt>
                <c:pt idx="16">
                  <c:v>29388</c:v>
                </c:pt>
                <c:pt idx="17">
                  <c:v>29395.5</c:v>
                </c:pt>
                <c:pt idx="18">
                  <c:v>29481</c:v>
                </c:pt>
                <c:pt idx="19">
                  <c:v>29483.5</c:v>
                </c:pt>
                <c:pt idx="20">
                  <c:v>23753</c:v>
                </c:pt>
                <c:pt idx="21">
                  <c:v>28748</c:v>
                </c:pt>
                <c:pt idx="22">
                  <c:v>28750</c:v>
                </c:pt>
                <c:pt idx="23">
                  <c:v>28905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D8-4494-9B85-25C140ADC370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29048.5</c:v>
                </c:pt>
                <c:pt idx="2">
                  <c:v>29263.5</c:v>
                </c:pt>
                <c:pt idx="3">
                  <c:v>29380</c:v>
                </c:pt>
                <c:pt idx="4">
                  <c:v>29388</c:v>
                </c:pt>
                <c:pt idx="5">
                  <c:v>29395.5</c:v>
                </c:pt>
                <c:pt idx="6">
                  <c:v>29481</c:v>
                </c:pt>
                <c:pt idx="7">
                  <c:v>29483.5</c:v>
                </c:pt>
                <c:pt idx="8">
                  <c:v>29712.5</c:v>
                </c:pt>
                <c:pt idx="9">
                  <c:v>32496.5</c:v>
                </c:pt>
                <c:pt idx="10">
                  <c:v>30384</c:v>
                </c:pt>
                <c:pt idx="11">
                  <c:v>124</c:v>
                </c:pt>
                <c:pt idx="12">
                  <c:v>23432.5</c:v>
                </c:pt>
                <c:pt idx="13">
                  <c:v>29048.5</c:v>
                </c:pt>
                <c:pt idx="14">
                  <c:v>29263.5</c:v>
                </c:pt>
                <c:pt idx="15">
                  <c:v>29380</c:v>
                </c:pt>
                <c:pt idx="16">
                  <c:v>29388</c:v>
                </c:pt>
                <c:pt idx="17">
                  <c:v>29395.5</c:v>
                </c:pt>
                <c:pt idx="18">
                  <c:v>29481</c:v>
                </c:pt>
                <c:pt idx="19">
                  <c:v>29483.5</c:v>
                </c:pt>
                <c:pt idx="20">
                  <c:v>23753</c:v>
                </c:pt>
                <c:pt idx="21">
                  <c:v>28748</c:v>
                </c:pt>
                <c:pt idx="22">
                  <c:v>28750</c:v>
                </c:pt>
                <c:pt idx="23">
                  <c:v>28905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-5.4342276507029358E-4</c:v>
                </c:pt>
                <c:pt idx="1">
                  <c:v>5.8451728147343188E-2</c:v>
                </c:pt>
                <c:pt idx="2">
                  <c:v>5.8888375734866424E-2</c:v>
                </c:pt>
                <c:pt idx="3">
                  <c:v>5.912497779973367E-2</c:v>
                </c:pt>
                <c:pt idx="4">
                  <c:v>5.9141225151827563E-2</c:v>
                </c:pt>
                <c:pt idx="5">
                  <c:v>5.9156457044415578E-2</c:v>
                </c:pt>
                <c:pt idx="6">
                  <c:v>5.9330100619919009E-2</c:v>
                </c:pt>
                <c:pt idx="7">
                  <c:v>5.9335177917448349E-2</c:v>
                </c:pt>
                <c:pt idx="8">
                  <c:v>5.9800258371135895E-2</c:v>
                </c:pt>
                <c:pt idx="9">
                  <c:v>6.5454336899808951E-2</c:v>
                </c:pt>
                <c:pt idx="10">
                  <c:v>6.1164020487516624E-2</c:v>
                </c:pt>
                <c:pt idx="11">
                  <c:v>-2.9158880761502836E-4</c:v>
                </c:pt>
                <c:pt idx="12">
                  <c:v>4.7046086977433753E-2</c:v>
                </c:pt>
                <c:pt idx="13">
                  <c:v>5.8451728147343188E-2</c:v>
                </c:pt>
                <c:pt idx="14">
                  <c:v>5.8888375734866424E-2</c:v>
                </c:pt>
                <c:pt idx="15">
                  <c:v>5.912497779973367E-2</c:v>
                </c:pt>
                <c:pt idx="16">
                  <c:v>5.9141225151827563E-2</c:v>
                </c:pt>
                <c:pt idx="17">
                  <c:v>5.9156457044415578E-2</c:v>
                </c:pt>
                <c:pt idx="18">
                  <c:v>5.9330100619919009E-2</c:v>
                </c:pt>
                <c:pt idx="19">
                  <c:v>5.9335177917448349E-2</c:v>
                </c:pt>
                <c:pt idx="20">
                  <c:v>4.7696996520695145E-2</c:v>
                </c:pt>
                <c:pt idx="21">
                  <c:v>5.7841436984316513E-2</c:v>
                </c:pt>
                <c:pt idx="22">
                  <c:v>5.7845498822339983E-2</c:v>
                </c:pt>
                <c:pt idx="23">
                  <c:v>5.8160291269159066E-2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D8-4494-9B85-25C140ADC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383512"/>
        <c:axId val="1"/>
      </c:scatterChart>
      <c:valAx>
        <c:axId val="720383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893582227455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76022272916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383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6528925619834711E-2"/>
          <c:y val="0.91900605882208652"/>
          <c:w val="0.99173662176525457"/>
          <c:h val="0.981311681834163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16</xdr:col>
      <xdr:colOff>228600</xdr:colOff>
      <xdr:row>18</xdr:row>
      <xdr:rowOff>19050</xdr:rowOff>
    </xdr:to>
    <xdr:graphicFrame macro="">
      <xdr:nvGraphicFramePr>
        <xdr:cNvPr id="50182" name="Chart 1">
          <a:extLst>
            <a:ext uri="{FF2B5EF4-FFF2-40B4-BE49-F238E27FC236}">
              <a16:creationId xmlns:a16="http://schemas.microsoft.com/office/drawing/2014/main" id="{88DE2F0B-87D9-77FE-BCC3-16E4CC673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114300</xdr:colOff>
      <xdr:row>0</xdr:row>
      <xdr:rowOff>0</xdr:rowOff>
    </xdr:from>
    <xdr:to>
      <xdr:col>25</xdr:col>
      <xdr:colOff>438150</xdr:colOff>
      <xdr:row>18</xdr:row>
      <xdr:rowOff>28575</xdr:rowOff>
    </xdr:to>
    <xdr:graphicFrame macro="">
      <xdr:nvGraphicFramePr>
        <xdr:cNvPr id="50183" name="Chart 3">
          <a:extLst>
            <a:ext uri="{FF2B5EF4-FFF2-40B4-BE49-F238E27FC236}">
              <a16:creationId xmlns:a16="http://schemas.microsoft.com/office/drawing/2014/main" id="{00AF8875-7818-D952-F2CE-FE960913A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6643ECF-4A6E-4F25-AF67-ABEFFD808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587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var.astro.cz/oejv/issues/oejv0074.pdf" TargetMode="External"/><Relationship Id="rId26" Type="http://schemas.openxmlformats.org/officeDocument/2006/relationships/hyperlink" Target="http://www.konkoly.hu/cgi-bin/IBVS?5784" TargetMode="External"/><Relationship Id="rId39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konkoly.hu/cgi-bin/IBVS?4605" TargetMode="External"/><Relationship Id="rId21" Type="http://schemas.openxmlformats.org/officeDocument/2006/relationships/hyperlink" Target="http://www.konkoly.hu/cgi-bin/IBVS?5784" TargetMode="External"/><Relationship Id="rId34" Type="http://schemas.openxmlformats.org/officeDocument/2006/relationships/hyperlink" Target="http://var.astro.cz/oejv/issues/oejv0160.pdf" TargetMode="External"/><Relationship Id="rId42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4587" TargetMode="External"/><Relationship Id="rId12" Type="http://schemas.openxmlformats.org/officeDocument/2006/relationships/hyperlink" Target="http://www.bav-astro.de/sfs/BAVM_link.php?BAVMnr=152" TargetMode="External"/><Relationship Id="rId17" Type="http://schemas.openxmlformats.org/officeDocument/2006/relationships/hyperlink" Target="http://www.bav-astro.de/sfs/BAVM_link.php?BAVMnr=158" TargetMode="External"/><Relationship Id="rId25" Type="http://schemas.openxmlformats.org/officeDocument/2006/relationships/hyperlink" Target="http://www.konkoly.hu/cgi-bin/IBVS?5784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4605" TargetMode="External"/><Relationship Id="rId16" Type="http://schemas.openxmlformats.org/officeDocument/2006/relationships/hyperlink" Target="http://www.bav-astro.de/sfs/BAVM_link.php?BAVMnr=158" TargetMode="External"/><Relationship Id="rId20" Type="http://schemas.openxmlformats.org/officeDocument/2006/relationships/hyperlink" Target="http://www.bav-astro.de/sfs/BAVM_link.php?BAVMnr=178" TargetMode="External"/><Relationship Id="rId29" Type="http://schemas.openxmlformats.org/officeDocument/2006/relationships/hyperlink" Target="http://var.astro.cz/oejv/issues/oejv0137.pdf" TargetMode="External"/><Relationship Id="rId41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4605" TargetMode="External"/><Relationship Id="rId6" Type="http://schemas.openxmlformats.org/officeDocument/2006/relationships/hyperlink" Target="http://www.konkoly.hu/cgi-bin/IBVS?4587" TargetMode="External"/><Relationship Id="rId11" Type="http://schemas.openxmlformats.org/officeDocument/2006/relationships/hyperlink" Target="http://www.bav-astro.de/sfs/BAVM_link.php?BAVMnr=128" TargetMode="External"/><Relationship Id="rId24" Type="http://schemas.openxmlformats.org/officeDocument/2006/relationships/hyperlink" Target="http://www.konkoly.hu/cgi-bin/IBVS?5784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var.astro.cz/oejv/issues/oejv0160.pdf" TargetMode="External"/><Relationship Id="rId40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4587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www.konkoly.hu/cgi-bin/IBVS?5784" TargetMode="External"/><Relationship Id="rId28" Type="http://schemas.openxmlformats.org/officeDocument/2006/relationships/hyperlink" Target="http://www.bav-astro.de/sfs/BAVM_link.php?BAVMnr=209" TargetMode="External"/><Relationship Id="rId36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4587" TargetMode="External"/><Relationship Id="rId19" Type="http://schemas.openxmlformats.org/officeDocument/2006/relationships/hyperlink" Target="http://var.astro.cz/oejv/issues/oejv0003.pdf" TargetMode="External"/><Relationship Id="rId31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konkoly.hu/cgi-bin/IBVS?4605" TargetMode="External"/><Relationship Id="rId9" Type="http://schemas.openxmlformats.org/officeDocument/2006/relationships/hyperlink" Target="http://www.konkoly.hu/cgi-bin/IBVS?4587" TargetMode="External"/><Relationship Id="rId14" Type="http://schemas.openxmlformats.org/officeDocument/2006/relationships/hyperlink" Target="http://www.bav-astro.de/sfs/BAVM_link.php?BAVMnr=152" TargetMode="External"/><Relationship Id="rId22" Type="http://schemas.openxmlformats.org/officeDocument/2006/relationships/hyperlink" Target="http://www.konkoly.hu/cgi-bin/IBVS?5784" TargetMode="External"/><Relationship Id="rId27" Type="http://schemas.openxmlformats.org/officeDocument/2006/relationships/hyperlink" Target="http://var.astro.cz/oejv/issues/oejv0107.pdf" TargetMode="External"/><Relationship Id="rId30" Type="http://schemas.openxmlformats.org/officeDocument/2006/relationships/hyperlink" Target="http://var.astro.cz/oejv/issues/oejv0137.pdf" TargetMode="External"/><Relationship Id="rId35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E171"/>
  <sheetViews>
    <sheetView tabSelected="1" workbookViewId="0">
      <pane xSplit="14" ySplit="22" topLeftCell="O9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6.42578125" customWidth="1"/>
    <col min="2" max="2" width="5.140625" style="6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50</v>
      </c>
    </row>
    <row r="2" spans="1:6">
      <c r="A2" t="s">
        <v>26</v>
      </c>
      <c r="B2" s="64" t="s">
        <v>49</v>
      </c>
    </row>
    <row r="4" spans="1:6" ht="14.25" thickTop="1" thickBot="1">
      <c r="A4" s="8" t="s">
        <v>0</v>
      </c>
      <c r="C4" s="3">
        <v>35635.396999999997</v>
      </c>
      <c r="D4" s="4">
        <v>0.51514000000000004</v>
      </c>
    </row>
    <row r="5" spans="1:6" ht="13.5" thickTop="1">
      <c r="A5" s="21" t="s">
        <v>54</v>
      </c>
      <c r="B5" s="65"/>
      <c r="C5" s="22">
        <v>-9.5</v>
      </c>
      <c r="D5" s="20" t="s">
        <v>55</v>
      </c>
    </row>
    <row r="6" spans="1:6">
      <c r="A6" s="8" t="s">
        <v>1</v>
      </c>
    </row>
    <row r="7" spans="1:6">
      <c r="A7" t="s">
        <v>2</v>
      </c>
      <c r="C7">
        <f>+C4</f>
        <v>35635.396999999997</v>
      </c>
    </row>
    <row r="8" spans="1:6">
      <c r="A8" t="s">
        <v>3</v>
      </c>
      <c r="C8">
        <v>0.51526673000000001</v>
      </c>
      <c r="D8" t="s">
        <v>43</v>
      </c>
    </row>
    <row r="9" spans="1:6">
      <c r="A9" s="37" t="s">
        <v>60</v>
      </c>
      <c r="B9" s="38">
        <v>36</v>
      </c>
      <c r="C9" s="36" t="str">
        <f>"F"&amp;B9</f>
        <v>F36</v>
      </c>
      <c r="D9" s="13" t="str">
        <f>"G"&amp;B9</f>
        <v>G36</v>
      </c>
    </row>
    <row r="10" spans="1:6" ht="13.5" thickBot="1">
      <c r="A10" s="20"/>
      <c r="B10" s="65"/>
      <c r="C10" s="7" t="s">
        <v>21</v>
      </c>
      <c r="D10" s="7" t="s">
        <v>22</v>
      </c>
      <c r="E10" s="20"/>
    </row>
    <row r="11" spans="1:6">
      <c r="A11" s="20" t="s">
        <v>16</v>
      </c>
      <c r="B11" s="65"/>
      <c r="C11" s="35">
        <f ca="1">INTERCEPT(INDIRECT($D$9):G981,INDIRECT($C$9):F981)</f>
        <v>2.9024687098229023E-2</v>
      </c>
      <c r="D11" s="6"/>
      <c r="E11" s="20"/>
    </row>
    <row r="12" spans="1:6">
      <c r="A12" s="20" t="s">
        <v>17</v>
      </c>
      <c r="B12" s="65"/>
      <c r="C12" s="35">
        <f ca="1">SLOPE(INDIRECT($D$9):G981,INDIRECT($C$9):F981)</f>
        <v>-1.5065358601393832E-6</v>
      </c>
      <c r="D12" s="6"/>
      <c r="E12" s="20"/>
    </row>
    <row r="13" spans="1:6">
      <c r="A13" s="20" t="s">
        <v>20</v>
      </c>
      <c r="B13" s="65"/>
      <c r="C13" s="6" t="s">
        <v>14</v>
      </c>
    </row>
    <row r="14" spans="1:6">
      <c r="A14" s="20"/>
      <c r="B14" s="65"/>
      <c r="C14" s="20"/>
    </row>
    <row r="15" spans="1:6">
      <c r="A15" s="23" t="s">
        <v>18</v>
      </c>
      <c r="B15" s="65"/>
      <c r="C15" s="24">
        <f ca="1">(C7+C11)+(C8+C12)*INT(MAX(F21:F3522))</f>
        <v>59828.674061998856</v>
      </c>
      <c r="E15" s="25" t="s">
        <v>64</v>
      </c>
      <c r="F15" s="22">
        <v>1</v>
      </c>
    </row>
    <row r="16" spans="1:6">
      <c r="A16" s="27" t="s">
        <v>4</v>
      </c>
      <c r="B16" s="65"/>
      <c r="C16" s="28">
        <f ca="1">+C8+C12</f>
        <v>0.51526522346413983</v>
      </c>
      <c r="E16" s="25" t="s">
        <v>56</v>
      </c>
      <c r="F16" s="26">
        <f ca="1">NOW()+15018.5+$C$5/24</f>
        <v>60162.857428935182</v>
      </c>
    </row>
    <row r="17" spans="1:17" ht="13.5" thickBot="1">
      <c r="A17" s="25" t="s">
        <v>51</v>
      </c>
      <c r="B17" s="65"/>
      <c r="C17" s="20">
        <f>COUNT(C21:C2180)</f>
        <v>76</v>
      </c>
      <c r="E17" s="25" t="s">
        <v>65</v>
      </c>
      <c r="F17" s="26">
        <f ca="1">ROUND(2*(F16-$C$7)/$C$8,0)/2+F15</f>
        <v>47602.5</v>
      </c>
    </row>
    <row r="18" spans="1:17" ht="14.25" thickTop="1" thickBot="1">
      <c r="A18" s="27" t="s">
        <v>5</v>
      </c>
      <c r="B18" s="65"/>
      <c r="C18" s="30">
        <f ca="1">+C15</f>
        <v>59828.674061998856</v>
      </c>
      <c r="D18" s="31">
        <f ca="1">+C16</f>
        <v>0.51526522346413983</v>
      </c>
      <c r="E18" s="25" t="s">
        <v>57</v>
      </c>
      <c r="F18" s="13">
        <f ca="1">ROUND(2*(F16-$C$15)/$C$16,0)/2+F15</f>
        <v>649.5</v>
      </c>
    </row>
    <row r="19" spans="1:17" ht="13.5" thickTop="1">
      <c r="E19" s="25" t="s">
        <v>58</v>
      </c>
      <c r="F19" s="29">
        <f ca="1">+$C$15+$C$16*F18-15018.5-$C$5/24</f>
        <v>45145.234657972149</v>
      </c>
    </row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79</v>
      </c>
      <c r="I20" s="10" t="s">
        <v>62</v>
      </c>
      <c r="J20" s="10" t="s">
        <v>76</v>
      </c>
      <c r="K20" s="10" t="s">
        <v>74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17">
      <c r="A21" s="14" t="s">
        <v>12</v>
      </c>
      <c r="C21" s="34">
        <v>35635.396999999997</v>
      </c>
      <c r="D21" s="34" t="s">
        <v>14</v>
      </c>
      <c r="E21">
        <f t="shared" ref="E21:E52" si="0">+(C21-C$7)/C$8</f>
        <v>0</v>
      </c>
      <c r="F21">
        <f t="shared" ref="F21:F52" si="1">ROUND(2*E21,0)/2</f>
        <v>0</v>
      </c>
      <c r="G21">
        <v>0</v>
      </c>
      <c r="H21" s="14">
        <f>G21</f>
        <v>0</v>
      </c>
      <c r="Q21" s="2">
        <f t="shared" ref="Q21:Q52" si="2">+C21-15018.5</f>
        <v>20616.896999999997</v>
      </c>
    </row>
    <row r="22" spans="1:17">
      <c r="A22" s="17" t="s">
        <v>48</v>
      </c>
      <c r="B22" s="15" t="s">
        <v>47</v>
      </c>
      <c r="C22" s="16">
        <v>35699.274999999907</v>
      </c>
      <c r="D22" s="32" t="s">
        <v>14</v>
      </c>
      <c r="E22">
        <f t="shared" si="0"/>
        <v>123.97074423941491</v>
      </c>
      <c r="F22">
        <f t="shared" si="1"/>
        <v>124</v>
      </c>
      <c r="K22" s="13">
        <v>-1.5074520088091958E-2</v>
      </c>
      <c r="Q22" s="2">
        <f t="shared" si="2"/>
        <v>20680.774999999907</v>
      </c>
    </row>
    <row r="23" spans="1:17">
      <c r="A23" s="63" t="s">
        <v>87</v>
      </c>
      <c r="B23" s="66" t="s">
        <v>47</v>
      </c>
      <c r="C23" s="63">
        <v>35702.366000000002</v>
      </c>
      <c r="D23" s="63" t="s">
        <v>62</v>
      </c>
      <c r="E23">
        <f t="shared" si="0"/>
        <v>129.96957905666565</v>
      </c>
      <c r="F23">
        <f t="shared" si="1"/>
        <v>130</v>
      </c>
      <c r="G23">
        <f t="shared" ref="G23:G32" si="3">+C23-(C$7+F23*C$8)</f>
        <v>-1.5674899994337466E-2</v>
      </c>
      <c r="I23">
        <f t="shared" ref="I23:I32" si="4">+G23</f>
        <v>-1.5674899994337466E-2</v>
      </c>
      <c r="Q23" s="2">
        <f t="shared" si="2"/>
        <v>20683.866000000002</v>
      </c>
    </row>
    <row r="24" spans="1:17">
      <c r="A24" s="63" t="s">
        <v>87</v>
      </c>
      <c r="B24" s="66" t="s">
        <v>47</v>
      </c>
      <c r="C24" s="63">
        <v>35703.394999999997</v>
      </c>
      <c r="D24" s="63" t="s">
        <v>62</v>
      </c>
      <c r="E24">
        <f t="shared" si="0"/>
        <v>131.96660300578614</v>
      </c>
      <c r="F24">
        <f t="shared" si="1"/>
        <v>132</v>
      </c>
      <c r="G24">
        <f t="shared" si="3"/>
        <v>-1.7208359997312073E-2</v>
      </c>
      <c r="I24">
        <f t="shared" si="4"/>
        <v>-1.7208359997312073E-2</v>
      </c>
      <c r="Q24" s="2">
        <f t="shared" si="2"/>
        <v>20684.894999999997</v>
      </c>
    </row>
    <row r="25" spans="1:17">
      <c r="A25" s="63" t="s">
        <v>87</v>
      </c>
      <c r="B25" s="66" t="s">
        <v>47</v>
      </c>
      <c r="C25" s="63">
        <v>35716.264000000003</v>
      </c>
      <c r="D25" s="63" t="s">
        <v>62</v>
      </c>
      <c r="E25">
        <f t="shared" si="0"/>
        <v>156.94201719564865</v>
      </c>
      <c r="F25">
        <f t="shared" si="1"/>
        <v>157</v>
      </c>
      <c r="G25">
        <f t="shared" si="3"/>
        <v>-2.9876609994971659E-2</v>
      </c>
      <c r="I25">
        <f t="shared" si="4"/>
        <v>-2.9876609994971659E-2</v>
      </c>
      <c r="Q25" s="2">
        <f t="shared" si="2"/>
        <v>20697.764000000003</v>
      </c>
    </row>
    <row r="26" spans="1:17">
      <c r="A26" s="63" t="s">
        <v>87</v>
      </c>
      <c r="B26" s="66" t="s">
        <v>47</v>
      </c>
      <c r="C26" s="63">
        <v>35717.29</v>
      </c>
      <c r="D26" s="63" t="s">
        <v>62</v>
      </c>
      <c r="E26">
        <f t="shared" si="0"/>
        <v>158.93321891751805</v>
      </c>
      <c r="F26">
        <f t="shared" si="1"/>
        <v>159</v>
      </c>
      <c r="G26">
        <f t="shared" si="3"/>
        <v>-3.4410069994919468E-2</v>
      </c>
      <c r="I26">
        <f t="shared" si="4"/>
        <v>-3.4410069994919468E-2</v>
      </c>
      <c r="Q26" s="2">
        <f t="shared" si="2"/>
        <v>20698.79</v>
      </c>
    </row>
    <row r="27" spans="1:17">
      <c r="A27" s="63" t="s">
        <v>87</v>
      </c>
      <c r="B27" s="66" t="s">
        <v>47</v>
      </c>
      <c r="C27" s="63">
        <v>35718.338000000003</v>
      </c>
      <c r="D27" s="63" t="s">
        <v>62</v>
      </c>
      <c r="E27">
        <f t="shared" si="0"/>
        <v>160.96711697261372</v>
      </c>
      <c r="F27">
        <f t="shared" si="1"/>
        <v>161</v>
      </c>
      <c r="G27">
        <f t="shared" si="3"/>
        <v>-1.6943529990385287E-2</v>
      </c>
      <c r="I27">
        <f t="shared" si="4"/>
        <v>-1.6943529990385287E-2</v>
      </c>
      <c r="Q27" s="2">
        <f t="shared" si="2"/>
        <v>20699.838000000003</v>
      </c>
    </row>
    <row r="28" spans="1:17">
      <c r="A28" s="63" t="s">
        <v>87</v>
      </c>
      <c r="B28" s="66" t="s">
        <v>47</v>
      </c>
      <c r="C28" s="63">
        <v>35719.364000000001</v>
      </c>
      <c r="D28" s="63" t="s">
        <v>62</v>
      </c>
      <c r="E28">
        <f t="shared" si="0"/>
        <v>162.95831869448313</v>
      </c>
      <c r="F28">
        <f t="shared" si="1"/>
        <v>163</v>
      </c>
      <c r="G28">
        <f t="shared" si="3"/>
        <v>-2.1476989997609053E-2</v>
      </c>
      <c r="I28">
        <f t="shared" si="4"/>
        <v>-2.1476989997609053E-2</v>
      </c>
      <c r="Q28" s="2">
        <f t="shared" si="2"/>
        <v>20700.864000000001</v>
      </c>
    </row>
    <row r="29" spans="1:17">
      <c r="A29" s="63" t="s">
        <v>87</v>
      </c>
      <c r="B29" s="66" t="s">
        <v>47</v>
      </c>
      <c r="C29" s="63">
        <v>35720.392999999996</v>
      </c>
      <c r="D29" s="63" t="s">
        <v>62</v>
      </c>
      <c r="E29">
        <f t="shared" si="0"/>
        <v>164.95534264360361</v>
      </c>
      <c r="F29">
        <f t="shared" si="1"/>
        <v>165</v>
      </c>
      <c r="G29">
        <f t="shared" si="3"/>
        <v>-2.301045000058366E-2</v>
      </c>
      <c r="I29">
        <f t="shared" si="4"/>
        <v>-2.301045000058366E-2</v>
      </c>
      <c r="Q29" s="2">
        <f t="shared" si="2"/>
        <v>20701.892999999996</v>
      </c>
    </row>
    <row r="30" spans="1:17">
      <c r="A30" s="63" t="s">
        <v>113</v>
      </c>
      <c r="B30" s="66" t="s">
        <v>47</v>
      </c>
      <c r="C30" s="63">
        <v>47654.493999999999</v>
      </c>
      <c r="D30" s="63" t="s">
        <v>62</v>
      </c>
      <c r="E30">
        <f t="shared" si="0"/>
        <v>23325.971385732591</v>
      </c>
      <c r="F30">
        <f t="shared" si="1"/>
        <v>23326</v>
      </c>
      <c r="G30">
        <f t="shared" si="3"/>
        <v>-1.474397999845678E-2</v>
      </c>
      <c r="I30">
        <f t="shared" si="4"/>
        <v>-1.474397999845678E-2</v>
      </c>
      <c r="Q30" s="2">
        <f t="shared" si="2"/>
        <v>32635.993999999999</v>
      </c>
    </row>
    <row r="31" spans="1:17">
      <c r="A31" s="63" t="s">
        <v>113</v>
      </c>
      <c r="B31" s="66" t="s">
        <v>47</v>
      </c>
      <c r="C31" s="63">
        <v>47669.417999999998</v>
      </c>
      <c r="D31" s="63" t="s">
        <v>62</v>
      </c>
      <c r="E31">
        <f t="shared" si="0"/>
        <v>23354.935025593444</v>
      </c>
      <c r="F31">
        <f t="shared" si="1"/>
        <v>23355</v>
      </c>
      <c r="G31">
        <f t="shared" si="3"/>
        <v>-3.3479149999038782E-2</v>
      </c>
      <c r="I31">
        <f t="shared" si="4"/>
        <v>-3.3479149999038782E-2</v>
      </c>
      <c r="Q31" s="2">
        <f t="shared" si="2"/>
        <v>32650.917999999998</v>
      </c>
    </row>
    <row r="32" spans="1:17">
      <c r="A32" s="63" t="s">
        <v>113</v>
      </c>
      <c r="B32" s="66" t="s">
        <v>47</v>
      </c>
      <c r="C32" s="63">
        <v>47669.436999999998</v>
      </c>
      <c r="D32" s="63" t="s">
        <v>62</v>
      </c>
      <c r="E32">
        <f t="shared" si="0"/>
        <v>23354.971899699405</v>
      </c>
      <c r="F32">
        <f t="shared" si="1"/>
        <v>23355</v>
      </c>
      <c r="G32">
        <f t="shared" si="3"/>
        <v>-1.4479149998805951E-2</v>
      </c>
      <c r="I32">
        <f t="shared" si="4"/>
        <v>-1.4479149998805951E-2</v>
      </c>
      <c r="Q32" s="2">
        <f t="shared" si="2"/>
        <v>32650.936999999998</v>
      </c>
    </row>
    <row r="33" spans="1:17">
      <c r="A33" s="17" t="s">
        <v>48</v>
      </c>
      <c r="B33" s="15" t="s">
        <v>47</v>
      </c>
      <c r="C33" s="33">
        <v>47706.535999999847</v>
      </c>
      <c r="D33" s="33">
        <v>3.0000000000000001E-3</v>
      </c>
      <c r="E33">
        <f t="shared" si="0"/>
        <v>23426.971502700842</v>
      </c>
      <c r="F33">
        <f t="shared" si="1"/>
        <v>23427</v>
      </c>
      <c r="K33" s="13">
        <v>-1.4683710149256513E-2</v>
      </c>
      <c r="Q33" s="2">
        <f t="shared" si="2"/>
        <v>32688.035999999847</v>
      </c>
    </row>
    <row r="34" spans="1:17">
      <c r="A34" s="63" t="s">
        <v>113</v>
      </c>
      <c r="B34" s="66" t="s">
        <v>38</v>
      </c>
      <c r="C34" s="63">
        <v>47737.455000000002</v>
      </c>
      <c r="D34" s="63" t="s">
        <v>62</v>
      </c>
      <c r="E34">
        <f t="shared" si="0"/>
        <v>23486.977317553581</v>
      </c>
      <c r="F34">
        <f t="shared" si="1"/>
        <v>23487</v>
      </c>
      <c r="G34">
        <f>+C34-(C$7+F34*C$8)</f>
        <v>-1.1687509992043488E-2</v>
      </c>
      <c r="I34">
        <f>+G34</f>
        <v>-1.1687509992043488E-2</v>
      </c>
      <c r="Q34" s="2">
        <f t="shared" si="2"/>
        <v>32718.955000000002</v>
      </c>
    </row>
    <row r="35" spans="1:17">
      <c r="A35" s="63" t="s">
        <v>113</v>
      </c>
      <c r="B35" s="66" t="s">
        <v>38</v>
      </c>
      <c r="C35" s="63">
        <v>47737.455999999998</v>
      </c>
      <c r="D35" s="63" t="s">
        <v>62</v>
      </c>
      <c r="E35">
        <f t="shared" si="0"/>
        <v>23486.979258295993</v>
      </c>
      <c r="F35">
        <f t="shared" si="1"/>
        <v>23487</v>
      </c>
      <c r="G35">
        <f>+C35-(C$7+F35*C$8)</f>
        <v>-1.068750999547774E-2</v>
      </c>
      <c r="I35">
        <f>+G35</f>
        <v>-1.068750999547774E-2</v>
      </c>
      <c r="Q35" s="2">
        <f t="shared" si="2"/>
        <v>32718.955999999998</v>
      </c>
    </row>
    <row r="36" spans="1:17">
      <c r="A36" s="63" t="s">
        <v>113</v>
      </c>
      <c r="B36" s="66" t="s">
        <v>38</v>
      </c>
      <c r="C36" s="63">
        <v>47737.457000000002</v>
      </c>
      <c r="D36" s="63" t="s">
        <v>62</v>
      </c>
      <c r="E36">
        <f t="shared" si="0"/>
        <v>23486.981199038419</v>
      </c>
      <c r="F36">
        <f t="shared" si="1"/>
        <v>23487</v>
      </c>
      <c r="G36">
        <f>+C36-(C$7+F36*C$8)</f>
        <v>-9.6875099916360341E-3</v>
      </c>
      <c r="I36">
        <f>+G36</f>
        <v>-9.6875099916360341E-3</v>
      </c>
      <c r="Q36" s="2">
        <f t="shared" si="2"/>
        <v>32718.957000000002</v>
      </c>
    </row>
    <row r="37" spans="1:17">
      <c r="A37" s="63" t="s">
        <v>113</v>
      </c>
      <c r="B37" s="66" t="s">
        <v>38</v>
      </c>
      <c r="C37" s="63">
        <v>47737.461000000003</v>
      </c>
      <c r="D37" s="63" t="s">
        <v>62</v>
      </c>
      <c r="E37">
        <f t="shared" si="0"/>
        <v>23486.988962008094</v>
      </c>
      <c r="F37">
        <f t="shared" si="1"/>
        <v>23487</v>
      </c>
      <c r="G37">
        <f>+C37-(C$7+F37*C$8)</f>
        <v>-5.6875099908211268E-3</v>
      </c>
      <c r="I37">
        <f>+G37</f>
        <v>-5.6875099908211268E-3</v>
      </c>
      <c r="Q37" s="2">
        <f t="shared" si="2"/>
        <v>32718.961000000003</v>
      </c>
    </row>
    <row r="38" spans="1:17">
      <c r="A38" s="14" t="s">
        <v>43</v>
      </c>
      <c r="C38" s="34">
        <v>47871.417000000001</v>
      </c>
      <c r="D38" s="34"/>
      <c r="E38">
        <f t="shared" si="0"/>
        <v>23746.963053484946</v>
      </c>
      <c r="F38">
        <f t="shared" si="1"/>
        <v>23747</v>
      </c>
      <c r="K38" s="13">
        <v>-1.9037309997656848E-2</v>
      </c>
      <c r="Q38" s="2">
        <f t="shared" si="2"/>
        <v>32852.917000000001</v>
      </c>
    </row>
    <row r="39" spans="1:17">
      <c r="A39" s="14" t="s">
        <v>43</v>
      </c>
      <c r="C39" s="34">
        <v>50444.661699999997</v>
      </c>
      <c r="D39" s="34"/>
      <c r="E39">
        <f t="shared" si="0"/>
        <v>28740.968197189832</v>
      </c>
      <c r="F39">
        <f t="shared" si="1"/>
        <v>28741</v>
      </c>
      <c r="G39">
        <f>+C39-(C$7+F39*C$8)</f>
        <v>-1.6386930001317523E-2</v>
      </c>
      <c r="K39">
        <f>+G39</f>
        <v>-1.6386930001317523E-2</v>
      </c>
      <c r="Q39" s="2">
        <f t="shared" si="2"/>
        <v>35426.161699999997</v>
      </c>
    </row>
    <row r="40" spans="1:17">
      <c r="A40" s="14" t="s">
        <v>43</v>
      </c>
      <c r="B40" s="40"/>
      <c r="C40" s="18">
        <v>50445.692199999998</v>
      </c>
      <c r="D40" s="18"/>
      <c r="E40">
        <f t="shared" si="0"/>
        <v>28742.96813225259</v>
      </c>
      <c r="F40">
        <f t="shared" si="1"/>
        <v>28743</v>
      </c>
      <c r="G40">
        <f>+C40-(C$7+F40*C$8)</f>
        <v>-1.6420389998529572E-2</v>
      </c>
      <c r="K40">
        <f>+G40</f>
        <v>-1.6420389998529572E-2</v>
      </c>
      <c r="Q40" s="2">
        <f t="shared" si="2"/>
        <v>35427.192199999998</v>
      </c>
    </row>
    <row r="41" spans="1:17">
      <c r="A41" s="14" t="s">
        <v>43</v>
      </c>
      <c r="B41" s="40"/>
      <c r="C41" s="18">
        <v>50525.559300000001</v>
      </c>
      <c r="D41" s="18"/>
      <c r="E41">
        <f t="shared" si="0"/>
        <v>28897.969601103498</v>
      </c>
      <c r="F41">
        <f t="shared" si="1"/>
        <v>28898</v>
      </c>
      <c r="G41">
        <f>+C41-(C$7+F41*C$8)</f>
        <v>-1.5663539998058695E-2</v>
      </c>
      <c r="K41">
        <f>+G41</f>
        <v>-1.5663539998058695E-2</v>
      </c>
      <c r="Q41" s="2">
        <f t="shared" si="2"/>
        <v>35507.059300000001</v>
      </c>
    </row>
    <row r="42" spans="1:17">
      <c r="A42" s="17" t="s">
        <v>48</v>
      </c>
      <c r="B42" s="39" t="s">
        <v>38</v>
      </c>
      <c r="C42" s="17">
        <v>50599.49599999981</v>
      </c>
      <c r="D42" s="17">
        <v>5.0000000000000001E-3</v>
      </c>
      <c r="E42">
        <f t="shared" si="0"/>
        <v>29041.461691112509</v>
      </c>
      <c r="F42">
        <f t="shared" si="1"/>
        <v>29041.5</v>
      </c>
      <c r="K42" s="13">
        <v>-1.9739295188628603E-2</v>
      </c>
      <c r="Q42" s="2">
        <f t="shared" si="2"/>
        <v>35580.99599999981</v>
      </c>
    </row>
    <row r="43" spans="1:17">
      <c r="A43" s="63" t="s">
        <v>158</v>
      </c>
      <c r="B43" s="66" t="s">
        <v>38</v>
      </c>
      <c r="C43" s="63">
        <v>50599.495999999999</v>
      </c>
      <c r="D43" s="63" t="s">
        <v>62</v>
      </c>
      <c r="E43">
        <f t="shared" si="0"/>
        <v>29041.461691112876</v>
      </c>
      <c r="F43">
        <f t="shared" si="1"/>
        <v>29041.5</v>
      </c>
      <c r="G43">
        <f t="shared" ref="G43:G59" si="5">+C43-(C$7+F43*C$8)</f>
        <v>-1.9739294999453705E-2</v>
      </c>
      <c r="I43">
        <f>+G43</f>
        <v>-1.9739294999453705E-2</v>
      </c>
      <c r="Q43" s="2">
        <f t="shared" si="2"/>
        <v>35580.995999999999</v>
      </c>
    </row>
    <row r="44" spans="1:17">
      <c r="A44" s="17" t="s">
        <v>48</v>
      </c>
      <c r="B44" s="39" t="s">
        <v>38</v>
      </c>
      <c r="C44" s="17">
        <v>50710.283999999985</v>
      </c>
      <c r="D44" s="17">
        <v>2E-3</v>
      </c>
      <c r="E44">
        <f t="shared" si="0"/>
        <v>29256.472662226781</v>
      </c>
      <c r="F44">
        <f t="shared" si="1"/>
        <v>29256.5</v>
      </c>
      <c r="G44">
        <f t="shared" si="5"/>
        <v>-1.408624501345912E-2</v>
      </c>
      <c r="K44">
        <f>+G44</f>
        <v>-1.408624501345912E-2</v>
      </c>
      <c r="Q44" s="2">
        <f t="shared" si="2"/>
        <v>35691.783999999985</v>
      </c>
    </row>
    <row r="45" spans="1:17">
      <c r="A45" s="63" t="s">
        <v>48</v>
      </c>
      <c r="B45" s="66" t="s">
        <v>47</v>
      </c>
      <c r="C45" s="63">
        <v>50770.311000000002</v>
      </c>
      <c r="D45" s="63" t="s">
        <v>62</v>
      </c>
      <c r="E45">
        <f t="shared" si="0"/>
        <v>29372.969607410912</v>
      </c>
      <c r="F45">
        <f t="shared" si="1"/>
        <v>29373</v>
      </c>
      <c r="G45">
        <f t="shared" si="5"/>
        <v>-1.5660289995139465E-2</v>
      </c>
      <c r="K45" s="13">
        <v>-2.1163950242529001E-2</v>
      </c>
      <c r="Q45" s="2">
        <f t="shared" si="2"/>
        <v>35751.811000000002</v>
      </c>
    </row>
    <row r="46" spans="1:17">
      <c r="A46" s="67" t="s">
        <v>42</v>
      </c>
      <c r="B46" s="40"/>
      <c r="C46" s="18">
        <v>50770.31100000022</v>
      </c>
      <c r="D46" s="18">
        <v>3.0000000000000001E-3</v>
      </c>
      <c r="E46">
        <f t="shared" si="0"/>
        <v>29372.969607411334</v>
      </c>
      <c r="F46">
        <f t="shared" si="1"/>
        <v>29373</v>
      </c>
      <c r="G46">
        <f t="shared" si="5"/>
        <v>-1.5660289776860736E-2</v>
      </c>
      <c r="I46">
        <f>+G46</f>
        <v>-1.5660289776860736E-2</v>
      </c>
      <c r="Q46" s="2">
        <f t="shared" si="2"/>
        <v>35751.81100000022</v>
      </c>
    </row>
    <row r="47" spans="1:17">
      <c r="A47" s="67" t="s">
        <v>42</v>
      </c>
      <c r="B47" s="40"/>
      <c r="C47" s="18">
        <v>50774.433999999892</v>
      </c>
      <c r="D47" s="18">
        <v>2E-3</v>
      </c>
      <c r="E47">
        <f t="shared" si="0"/>
        <v>29380.971288404151</v>
      </c>
      <c r="F47">
        <f t="shared" si="1"/>
        <v>29381</v>
      </c>
      <c r="G47">
        <f t="shared" si="5"/>
        <v>-1.4794130103837233E-2</v>
      </c>
      <c r="I47">
        <f>+G47</f>
        <v>-1.4794130103837233E-2</v>
      </c>
      <c r="Q47" s="2">
        <f t="shared" si="2"/>
        <v>35755.933999999892</v>
      </c>
    </row>
    <row r="48" spans="1:17">
      <c r="A48" s="63" t="s">
        <v>48</v>
      </c>
      <c r="B48" s="66" t="s">
        <v>47</v>
      </c>
      <c r="C48" s="63">
        <v>50774.434000000001</v>
      </c>
      <c r="D48" s="63" t="s">
        <v>62</v>
      </c>
      <c r="E48">
        <f t="shared" si="0"/>
        <v>29380.971288404366</v>
      </c>
      <c r="F48">
        <f t="shared" si="1"/>
        <v>29381</v>
      </c>
      <c r="G48">
        <f t="shared" si="5"/>
        <v>-1.4794129994697869E-2</v>
      </c>
      <c r="K48" s="13">
        <v>-2.3496337792797299E-2</v>
      </c>
      <c r="Q48" s="2">
        <f t="shared" si="2"/>
        <v>35755.934000000001</v>
      </c>
    </row>
    <row r="49" spans="1:31">
      <c r="A49" s="67" t="s">
        <v>42</v>
      </c>
      <c r="B49" s="40"/>
      <c r="C49" s="18">
        <v>50778.296999999788</v>
      </c>
      <c r="D49" s="18">
        <v>2E-3</v>
      </c>
      <c r="E49">
        <f t="shared" si="0"/>
        <v>29388.46837636847</v>
      </c>
      <c r="F49">
        <f t="shared" si="1"/>
        <v>29388.5</v>
      </c>
      <c r="G49">
        <f t="shared" si="5"/>
        <v>-1.6294605207804125E-2</v>
      </c>
      <c r="I49">
        <f>+G49</f>
        <v>-1.6294605207804125E-2</v>
      </c>
      <c r="Q49" s="2">
        <f t="shared" si="2"/>
        <v>35759.796999999788</v>
      </c>
    </row>
    <row r="50" spans="1:31">
      <c r="A50" s="63" t="s">
        <v>48</v>
      </c>
      <c r="B50" s="66" t="s">
        <v>38</v>
      </c>
      <c r="C50" s="63">
        <v>50778.296999999999</v>
      </c>
      <c r="D50" s="63" t="s">
        <v>62</v>
      </c>
      <c r="E50">
        <f t="shared" si="0"/>
        <v>29388.468376368877</v>
      </c>
      <c r="F50">
        <f t="shared" si="1"/>
        <v>29388.5</v>
      </c>
      <c r="G50">
        <f t="shared" si="5"/>
        <v>-1.6294604996801354E-2</v>
      </c>
      <c r="K50" s="13">
        <v>-2.5828725343065601E-2</v>
      </c>
      <c r="Q50" s="2">
        <f t="shared" si="2"/>
        <v>35759.796999999999</v>
      </c>
    </row>
    <row r="51" spans="1:31">
      <c r="A51" s="17" t="s">
        <v>48</v>
      </c>
      <c r="B51" s="39" t="s">
        <v>47</v>
      </c>
      <c r="C51" s="17">
        <v>50822.351999999955</v>
      </c>
      <c r="D51" s="17">
        <v>1.1000000000000001E-3</v>
      </c>
      <c r="E51">
        <f t="shared" si="0"/>
        <v>29473.967783636948</v>
      </c>
      <c r="F51">
        <f t="shared" si="1"/>
        <v>29474</v>
      </c>
      <c r="G51">
        <f t="shared" si="5"/>
        <v>-1.6600020040641539E-2</v>
      </c>
      <c r="K51">
        <f>+G51</f>
        <v>-1.6600020040641539E-2</v>
      </c>
      <c r="Q51" s="2">
        <f t="shared" si="2"/>
        <v>35803.851999999955</v>
      </c>
    </row>
    <row r="52" spans="1:31">
      <c r="A52" s="17" t="s">
        <v>48</v>
      </c>
      <c r="B52" s="39" t="s">
        <v>38</v>
      </c>
      <c r="C52" s="17">
        <v>50823.639700000174</v>
      </c>
      <c r="D52" s="17">
        <v>2.0000000000000001E-4</v>
      </c>
      <c r="E52">
        <f t="shared" si="0"/>
        <v>29476.466877650295</v>
      </c>
      <c r="F52">
        <f t="shared" si="1"/>
        <v>29476.5</v>
      </c>
      <c r="G52">
        <f t="shared" si="5"/>
        <v>-1.7066844826331362E-2</v>
      </c>
      <c r="K52">
        <f>+G52</f>
        <v>-1.7066844826331362E-2</v>
      </c>
      <c r="Q52" s="2">
        <f t="shared" si="2"/>
        <v>35805.139700000174</v>
      </c>
    </row>
    <row r="53" spans="1:31">
      <c r="A53" s="14" t="s">
        <v>37</v>
      </c>
      <c r="B53" s="40"/>
      <c r="C53" s="18">
        <v>50941.380700000002</v>
      </c>
      <c r="D53" s="18">
        <v>8.0000000000000004E-4</v>
      </c>
      <c r="E53">
        <f t="shared" ref="E53:E84" si="6">+(C53-C$7)/C$8</f>
        <v>29704.971830803057</v>
      </c>
      <c r="F53">
        <f t="shared" ref="F53:F84" si="7">ROUND(2*E53,0)/2</f>
        <v>29705</v>
      </c>
      <c r="G53">
        <f t="shared" si="5"/>
        <v>-1.4514649992634077E-2</v>
      </c>
      <c r="J53">
        <f>+G53</f>
        <v>-1.4514649992634077E-2</v>
      </c>
      <c r="Q53" s="2">
        <f t="shared" ref="Q53:Q84" si="8">+C53-15018.5</f>
        <v>35922.880700000002</v>
      </c>
      <c r="AA53">
        <v>30</v>
      </c>
      <c r="AC53" t="s">
        <v>34</v>
      </c>
      <c r="AE53" t="s">
        <v>33</v>
      </c>
    </row>
    <row r="54" spans="1:31">
      <c r="A54" s="14" t="s">
        <v>41</v>
      </c>
      <c r="B54" s="40"/>
      <c r="C54" s="18">
        <v>51287.380599999997</v>
      </c>
      <c r="D54" s="18">
        <v>5.9999999999999995E-4</v>
      </c>
      <c r="E54">
        <f t="shared" si="6"/>
        <v>30376.468513695807</v>
      </c>
      <c r="F54">
        <f t="shared" si="7"/>
        <v>30376.5</v>
      </c>
      <c r="G54">
        <f t="shared" si="5"/>
        <v>-1.622384499933105E-2</v>
      </c>
      <c r="J54">
        <f>+G54</f>
        <v>-1.622384499933105E-2</v>
      </c>
      <c r="O54">
        <f ca="1">+C$11+C$12*$F54</f>
        <v>-1.6738599457294952E-2</v>
      </c>
      <c r="Q54" s="2">
        <f t="shared" si="8"/>
        <v>36268.880599999997</v>
      </c>
    </row>
    <row r="55" spans="1:31">
      <c r="A55" s="63" t="s">
        <v>192</v>
      </c>
      <c r="B55" s="66" t="s">
        <v>47</v>
      </c>
      <c r="C55" s="63">
        <v>51556.607799999998</v>
      </c>
      <c r="D55" s="63" t="s">
        <v>62</v>
      </c>
      <c r="E55">
        <f t="shared" si="6"/>
        <v>30898.969161078963</v>
      </c>
      <c r="F55">
        <f t="shared" si="7"/>
        <v>30899</v>
      </c>
      <c r="G55">
        <f t="shared" si="5"/>
        <v>-1.5890269998635631E-2</v>
      </c>
      <c r="K55">
        <f>+G55</f>
        <v>-1.5890269998635631E-2</v>
      </c>
      <c r="Q55" s="2">
        <f t="shared" si="8"/>
        <v>36538.107799999998</v>
      </c>
    </row>
    <row r="56" spans="1:31">
      <c r="A56" s="18" t="s">
        <v>45</v>
      </c>
      <c r="B56" s="41"/>
      <c r="C56" s="18">
        <v>51833.304100000001</v>
      </c>
      <c r="D56" s="18">
        <v>2.9999999999999997E-4</v>
      </c>
      <c r="E56">
        <f t="shared" si="6"/>
        <v>31435.965407663723</v>
      </c>
      <c r="F56">
        <f t="shared" si="7"/>
        <v>31436</v>
      </c>
      <c r="G56">
        <f t="shared" si="5"/>
        <v>-1.782427999569336E-2</v>
      </c>
      <c r="J56">
        <f>+G56</f>
        <v>-1.782427999569336E-2</v>
      </c>
      <c r="O56">
        <f ca="1">+C$11+C$12*$F56</f>
        <v>-1.8334774201112632E-2</v>
      </c>
      <c r="Q56" s="2">
        <f t="shared" si="8"/>
        <v>36814.804100000001</v>
      </c>
    </row>
    <row r="57" spans="1:31">
      <c r="A57" s="63" t="s">
        <v>200</v>
      </c>
      <c r="B57" s="66" t="s">
        <v>47</v>
      </c>
      <c r="C57" s="63">
        <v>51926.568099999997</v>
      </c>
      <c r="D57" s="63" t="s">
        <v>62</v>
      </c>
      <c r="E57">
        <f t="shared" si="6"/>
        <v>31616.966808627443</v>
      </c>
      <c r="F57">
        <f t="shared" si="7"/>
        <v>31617</v>
      </c>
      <c r="G57">
        <f t="shared" si="5"/>
        <v>-1.7102409998187795E-2</v>
      </c>
      <c r="K57">
        <f>+G57</f>
        <v>-1.7102409998187795E-2</v>
      </c>
      <c r="Q57" s="2">
        <f t="shared" si="8"/>
        <v>36908.068099999997</v>
      </c>
    </row>
    <row r="58" spans="1:31">
      <c r="A58" s="18" t="s">
        <v>61</v>
      </c>
      <c r="B58" s="40" t="s">
        <v>47</v>
      </c>
      <c r="C58" s="18">
        <v>52027.557639999999</v>
      </c>
      <c r="D58" s="18">
        <v>1.6999999999999999E-3</v>
      </c>
      <c r="E58">
        <f t="shared" si="6"/>
        <v>31812.961492778704</v>
      </c>
      <c r="F58">
        <f t="shared" si="7"/>
        <v>31813</v>
      </c>
      <c r="G58">
        <f t="shared" si="5"/>
        <v>-1.9841489993268624E-2</v>
      </c>
      <c r="K58">
        <f>+G58</f>
        <v>-1.9841489993268624E-2</v>
      </c>
      <c r="O58">
        <f t="shared" ref="O58:O81" ca="1" si="9">+C$11+C$12*$F58</f>
        <v>-1.8902738220385178E-2</v>
      </c>
      <c r="Q58" s="2">
        <f t="shared" si="8"/>
        <v>37009.057639999999</v>
      </c>
    </row>
    <row r="59" spans="1:31">
      <c r="A59" s="18" t="s">
        <v>45</v>
      </c>
      <c r="B59" s="41"/>
      <c r="C59" s="18">
        <v>52039.409200000002</v>
      </c>
      <c r="D59" s="18">
        <v>2.0000000000000001E-4</v>
      </c>
      <c r="E59">
        <f t="shared" si="6"/>
        <v>31835.962318001795</v>
      </c>
      <c r="F59">
        <f t="shared" si="7"/>
        <v>31836</v>
      </c>
      <c r="G59">
        <f t="shared" si="5"/>
        <v>-1.9416279996221419E-2</v>
      </c>
      <c r="J59">
        <f>+G59</f>
        <v>-1.9416279996221419E-2</v>
      </c>
      <c r="O59">
        <f t="shared" ca="1" si="9"/>
        <v>-1.8937388545168382E-2</v>
      </c>
      <c r="Q59" s="2">
        <f t="shared" si="8"/>
        <v>37020.909200000002</v>
      </c>
    </row>
    <row r="60" spans="1:31">
      <c r="A60" s="18" t="s">
        <v>61</v>
      </c>
      <c r="B60" s="40" t="s">
        <v>47</v>
      </c>
      <c r="C60" s="18">
        <v>52140.398300000001</v>
      </c>
      <c r="D60" s="18" t="s">
        <v>62</v>
      </c>
      <c r="E60">
        <f t="shared" si="6"/>
        <v>32031.956148226382</v>
      </c>
      <c r="F60">
        <f t="shared" si="7"/>
        <v>32032</v>
      </c>
      <c r="K60" s="13">
        <v>-2.2595360002014786E-2</v>
      </c>
      <c r="O60">
        <f t="shared" ca="1" si="9"/>
        <v>-1.9232669573755704E-2</v>
      </c>
      <c r="Q60" s="2">
        <f t="shared" si="8"/>
        <v>37121.898300000001</v>
      </c>
    </row>
    <row r="61" spans="1:31">
      <c r="A61" s="18" t="s">
        <v>40</v>
      </c>
      <c r="B61" s="41"/>
      <c r="C61" s="18">
        <v>52375.363100000002</v>
      </c>
      <c r="D61" s="18">
        <v>5.0000000000000001E-4</v>
      </c>
      <c r="E61">
        <f t="shared" si="6"/>
        <v>32487.962302553486</v>
      </c>
      <c r="F61">
        <f t="shared" si="7"/>
        <v>32488</v>
      </c>
      <c r="G61">
        <f>+C61-(C$7+F61*C$8)</f>
        <v>-1.9424239995714743E-2</v>
      </c>
      <c r="J61">
        <f>+G61</f>
        <v>-1.9424239995714743E-2</v>
      </c>
      <c r="O61">
        <f t="shared" ca="1" si="9"/>
        <v>-1.9919649925979263E-2</v>
      </c>
      <c r="Q61" s="2">
        <f t="shared" si="8"/>
        <v>37356.863100000002</v>
      </c>
    </row>
    <row r="62" spans="1:31">
      <c r="A62" s="14" t="s">
        <v>40</v>
      </c>
      <c r="B62" s="40"/>
      <c r="C62" s="18">
        <v>52375.620600000002</v>
      </c>
      <c r="D62" s="18">
        <v>4.0000000000000002E-4</v>
      </c>
      <c r="E62">
        <f t="shared" si="6"/>
        <v>32488.462043726373</v>
      </c>
      <c r="F62">
        <f t="shared" si="7"/>
        <v>32488.5</v>
      </c>
      <c r="G62">
        <f>+C62-(C$7+F62*C$8)</f>
        <v>-1.9557604995497968E-2</v>
      </c>
      <c r="J62">
        <f>+G62</f>
        <v>-1.9557604995497968E-2</v>
      </c>
      <c r="O62">
        <f t="shared" ca="1" si="9"/>
        <v>-1.9920403193909329E-2</v>
      </c>
      <c r="Q62" s="2">
        <f t="shared" si="8"/>
        <v>37357.120600000002</v>
      </c>
    </row>
    <row r="63" spans="1:31">
      <c r="A63" s="18" t="s">
        <v>61</v>
      </c>
      <c r="B63" s="40" t="s">
        <v>47</v>
      </c>
      <c r="C63" s="18">
        <v>52461.419869999998</v>
      </c>
      <c r="D63" s="18" t="s">
        <v>62</v>
      </c>
      <c r="E63">
        <f t="shared" si="6"/>
        <v>32654.976326532862</v>
      </c>
      <c r="F63">
        <f t="shared" si="7"/>
        <v>32655</v>
      </c>
      <c r="K63" s="13">
        <v>-1.2198149997857399E-2</v>
      </c>
      <c r="O63">
        <f t="shared" ca="1" si="9"/>
        <v>-2.0171241414622537E-2</v>
      </c>
      <c r="Q63" s="2">
        <f t="shared" si="8"/>
        <v>37442.919869999998</v>
      </c>
    </row>
    <row r="64" spans="1:31">
      <c r="A64" s="19" t="s">
        <v>53</v>
      </c>
      <c r="B64" s="40" t="s">
        <v>47</v>
      </c>
      <c r="C64" s="18">
        <v>52717.500800000002</v>
      </c>
      <c r="D64" s="18">
        <v>1.1999999999999999E-3</v>
      </c>
      <c r="E64">
        <f t="shared" si="6"/>
        <v>33151.963450075658</v>
      </c>
      <c r="F64">
        <f t="shared" si="7"/>
        <v>33152</v>
      </c>
      <c r="G64">
        <f>+C64-(C$7+F64*C$8)</f>
        <v>-1.8832959998690058E-2</v>
      </c>
      <c r="K64">
        <f>+G64</f>
        <v>-1.8832959998690058E-2</v>
      </c>
      <c r="O64">
        <f t="shared" ca="1" si="9"/>
        <v>-2.0919989737111809E-2</v>
      </c>
      <c r="Q64" s="2">
        <f t="shared" si="8"/>
        <v>37699.000800000002</v>
      </c>
    </row>
    <row r="65" spans="1:17">
      <c r="A65" s="19" t="s">
        <v>46</v>
      </c>
      <c r="B65" s="40" t="s">
        <v>47</v>
      </c>
      <c r="C65" s="18">
        <v>53107.555999999997</v>
      </c>
      <c r="D65" s="18">
        <v>3.0000000000000001E-3</v>
      </c>
      <c r="E65">
        <f t="shared" si="6"/>
        <v>33908.960122459292</v>
      </c>
      <c r="F65">
        <f t="shared" si="7"/>
        <v>33909</v>
      </c>
      <c r="G65">
        <f>+C65-(C$7+F65*C$8)</f>
        <v>-2.054757000587415E-2</v>
      </c>
      <c r="K65">
        <f>+G65</f>
        <v>-2.054757000587415E-2</v>
      </c>
      <c r="O65">
        <f t="shared" ca="1" si="9"/>
        <v>-2.2060437383237326E-2</v>
      </c>
      <c r="Q65" s="2">
        <f t="shared" si="8"/>
        <v>38089.055999999997</v>
      </c>
    </row>
    <row r="66" spans="1:17">
      <c r="A66" s="17" t="s">
        <v>68</v>
      </c>
      <c r="B66" s="39" t="s">
        <v>47</v>
      </c>
      <c r="C66" s="17">
        <v>53186.389000000003</v>
      </c>
      <c r="D66" s="17">
        <v>4.0000000000000001E-3</v>
      </c>
      <c r="E66">
        <f t="shared" si="6"/>
        <v>34061.954669574734</v>
      </c>
      <c r="F66">
        <f t="shared" si="7"/>
        <v>34062</v>
      </c>
      <c r="G66">
        <f>+C66-(C$7+F66*C$8)</f>
        <v>-2.3357259990007151E-2</v>
      </c>
      <c r="I66">
        <f>+G66</f>
        <v>-2.3357259990007151E-2</v>
      </c>
      <c r="O66">
        <f t="shared" ca="1" si="9"/>
        <v>-2.229093736983865E-2</v>
      </c>
      <c r="Q66" s="2">
        <f t="shared" si="8"/>
        <v>38167.889000000003</v>
      </c>
    </row>
    <row r="67" spans="1:17">
      <c r="A67" s="19" t="s">
        <v>52</v>
      </c>
      <c r="B67" s="41"/>
      <c r="C67" s="18">
        <v>53813.47</v>
      </c>
      <c r="D67" s="18">
        <v>5.0000000000000001E-4</v>
      </c>
      <c r="E67">
        <f t="shared" si="6"/>
        <v>35278.957366410992</v>
      </c>
      <c r="F67">
        <f t="shared" si="7"/>
        <v>35279</v>
      </c>
      <c r="J67" s="13">
        <v>-2.1967669992591254E-2</v>
      </c>
      <c r="O67">
        <f t="shared" ca="1" si="9"/>
        <v>-2.4124391511628276E-2</v>
      </c>
      <c r="Q67" s="2">
        <f t="shared" si="8"/>
        <v>38794.97</v>
      </c>
    </row>
    <row r="68" spans="1:17">
      <c r="A68" s="17" t="s">
        <v>59</v>
      </c>
      <c r="B68" s="41" t="s">
        <v>47</v>
      </c>
      <c r="C68" s="42">
        <v>53817.593000000001</v>
      </c>
      <c r="D68" s="42">
        <v>1.1999999999999999E-3</v>
      </c>
      <c r="E68">
        <f t="shared" si="6"/>
        <v>35286.959047404445</v>
      </c>
      <c r="F68">
        <f t="shared" si="7"/>
        <v>35287</v>
      </c>
      <c r="K68" s="13">
        <v>-2.1101509999425616E-2</v>
      </c>
      <c r="O68">
        <f t="shared" ca="1" si="9"/>
        <v>-2.4136443798509391E-2</v>
      </c>
      <c r="Q68" s="2">
        <f t="shared" si="8"/>
        <v>38799.093000000001</v>
      </c>
    </row>
    <row r="69" spans="1:17">
      <c r="A69" s="17" t="s">
        <v>59</v>
      </c>
      <c r="B69" s="41" t="s">
        <v>38</v>
      </c>
      <c r="C69" s="42">
        <v>53817.850899999998</v>
      </c>
      <c r="D69" s="42">
        <v>1.6000000000000001E-3</v>
      </c>
      <c r="E69">
        <f t="shared" si="6"/>
        <v>35287.459564874291</v>
      </c>
      <c r="F69">
        <f t="shared" si="7"/>
        <v>35287.5</v>
      </c>
      <c r="K69" s="13">
        <v>-2.0834874994761776E-2</v>
      </c>
      <c r="O69">
        <f t="shared" ca="1" si="9"/>
        <v>-2.4137197066439464E-2</v>
      </c>
      <c r="Q69" s="2">
        <f t="shared" si="8"/>
        <v>38799.350899999998</v>
      </c>
    </row>
    <row r="70" spans="1:17">
      <c r="A70" s="17" t="s">
        <v>59</v>
      </c>
      <c r="B70" s="41" t="s">
        <v>47</v>
      </c>
      <c r="C70" s="42">
        <v>53999.485200000003</v>
      </c>
      <c r="D70" s="42">
        <v>1.6000000000000001E-3</v>
      </c>
      <c r="E70">
        <f t="shared" si="6"/>
        <v>35639.964955626005</v>
      </c>
      <c r="F70">
        <f t="shared" si="7"/>
        <v>35640</v>
      </c>
      <c r="K70" s="13">
        <v>-1.8057199995382689E-2</v>
      </c>
      <c r="O70">
        <f t="shared" ca="1" si="9"/>
        <v>-2.4668250957138593E-2</v>
      </c>
      <c r="Q70" s="2">
        <f t="shared" si="8"/>
        <v>38980.985200000003</v>
      </c>
    </row>
    <row r="71" spans="1:17">
      <c r="A71" s="17" t="s">
        <v>59</v>
      </c>
      <c r="B71" s="41" t="s">
        <v>38</v>
      </c>
      <c r="C71" s="42">
        <v>53999.748699999996</v>
      </c>
      <c r="D71" s="42">
        <v>1.1999999999999999E-3</v>
      </c>
      <c r="E71">
        <f t="shared" si="6"/>
        <v>35640.476341253394</v>
      </c>
      <c r="F71">
        <f t="shared" si="7"/>
        <v>35640.5</v>
      </c>
      <c r="K71" s="13">
        <v>-1.2190565001219511E-2</v>
      </c>
      <c r="O71">
        <f t="shared" ca="1" si="9"/>
        <v>-2.4669004225068666E-2</v>
      </c>
      <c r="Q71" s="2">
        <f t="shared" si="8"/>
        <v>38981.248699999996</v>
      </c>
    </row>
    <row r="72" spans="1:17">
      <c r="A72" s="17" t="s">
        <v>59</v>
      </c>
      <c r="B72" s="41" t="s">
        <v>47</v>
      </c>
      <c r="C72" s="42">
        <v>54150.966399999998</v>
      </c>
      <c r="D72" s="42">
        <v>3.0999999999999999E-3</v>
      </c>
      <c r="E72">
        <f t="shared" si="6"/>
        <v>35933.950946143952</v>
      </c>
      <c r="F72">
        <f t="shared" si="7"/>
        <v>35934</v>
      </c>
      <c r="K72" s="13">
        <v>-2.5275820000388194E-2</v>
      </c>
      <c r="O72">
        <f t="shared" ca="1" si="9"/>
        <v>-2.5111172500019575E-2</v>
      </c>
      <c r="Q72" s="2">
        <f t="shared" si="8"/>
        <v>39132.466399999998</v>
      </c>
    </row>
    <row r="73" spans="1:17">
      <c r="A73" s="17" t="s">
        <v>59</v>
      </c>
      <c r="B73" s="41" t="s">
        <v>38</v>
      </c>
      <c r="C73" s="42">
        <v>54151.213100000001</v>
      </c>
      <c r="D73" s="42">
        <v>5.1000000000000004E-3</v>
      </c>
      <c r="E73">
        <f t="shared" si="6"/>
        <v>35934.429727298717</v>
      </c>
      <c r="F73">
        <f t="shared" si="7"/>
        <v>35934.5</v>
      </c>
      <c r="K73" s="13">
        <v>-3.6209184996550903E-2</v>
      </c>
      <c r="O73">
        <f t="shared" ca="1" si="9"/>
        <v>-2.5111925767949642E-2</v>
      </c>
      <c r="Q73" s="2">
        <f t="shared" si="8"/>
        <v>39132.713100000001</v>
      </c>
    </row>
    <row r="74" spans="1:17">
      <c r="A74" s="19" t="s">
        <v>63</v>
      </c>
      <c r="B74" s="40" t="s">
        <v>47</v>
      </c>
      <c r="C74" s="18">
        <v>54214.346129999998</v>
      </c>
      <c r="D74" s="18">
        <v>4.0000000000000002E-4</v>
      </c>
      <c r="E74">
        <f t="shared" si="6"/>
        <v>36056.954676658439</v>
      </c>
      <c r="F74">
        <f t="shared" si="7"/>
        <v>36057</v>
      </c>
      <c r="G74">
        <f t="shared" ref="G74:G92" si="10">+C74-(C$7+F74*C$8)</f>
        <v>-2.3353609998594038E-2</v>
      </c>
      <c r="K74">
        <f>+G74</f>
        <v>-2.3353609998594038E-2</v>
      </c>
      <c r="O74">
        <f t="shared" ca="1" si="9"/>
        <v>-2.5296476410816719E-2</v>
      </c>
      <c r="Q74" s="2">
        <f t="shared" si="8"/>
        <v>39195.846129999998</v>
      </c>
    </row>
    <row r="75" spans="1:17">
      <c r="A75" s="17" t="s">
        <v>67</v>
      </c>
      <c r="B75" s="39" t="s">
        <v>47</v>
      </c>
      <c r="C75" s="17">
        <v>54943.449099999998</v>
      </c>
      <c r="D75" s="17">
        <v>2.9999999999999997E-4</v>
      </c>
      <c r="E75">
        <f t="shared" si="6"/>
        <v>37471.955738341581</v>
      </c>
      <c r="F75">
        <f t="shared" si="7"/>
        <v>37472</v>
      </c>
      <c r="G75">
        <f t="shared" si="10"/>
        <v>-2.2806559994933195E-2</v>
      </c>
      <c r="J75">
        <f>+G75</f>
        <v>-2.2806559994933195E-2</v>
      </c>
      <c r="O75">
        <f t="shared" ca="1" si="9"/>
        <v>-2.7428224652913946E-2</v>
      </c>
      <c r="Q75" s="2">
        <f t="shared" si="8"/>
        <v>39924.949099999998</v>
      </c>
    </row>
    <row r="76" spans="1:17">
      <c r="A76" s="19" t="s">
        <v>66</v>
      </c>
      <c r="B76" s="40" t="s">
        <v>47</v>
      </c>
      <c r="C76" s="18">
        <v>55479.322959999998</v>
      </c>
      <c r="D76" s="18">
        <v>2.0000000000000001E-4</v>
      </c>
      <c r="E76">
        <f t="shared" si="6"/>
        <v>38511.948869666005</v>
      </c>
      <c r="F76">
        <f t="shared" si="7"/>
        <v>38512</v>
      </c>
      <c r="G76">
        <f t="shared" si="10"/>
        <v>-2.6345760001277085E-2</v>
      </c>
      <c r="K76">
        <f t="shared" ref="K76:K81" si="11">+G76</f>
        <v>-2.6345760001277085E-2</v>
      </c>
      <c r="O76">
        <f t="shared" ca="1" si="9"/>
        <v>-2.8995021947458906E-2</v>
      </c>
      <c r="Q76" s="2">
        <f t="shared" si="8"/>
        <v>40460.822959999998</v>
      </c>
    </row>
    <row r="77" spans="1:17">
      <c r="A77" s="19" t="s">
        <v>66</v>
      </c>
      <c r="B77" s="40" t="s">
        <v>47</v>
      </c>
      <c r="C77" s="18">
        <v>55479.323069999999</v>
      </c>
      <c r="D77" s="18">
        <v>2.0000000000000001E-4</v>
      </c>
      <c r="E77">
        <f t="shared" si="6"/>
        <v>38511.949083147672</v>
      </c>
      <c r="F77">
        <f t="shared" si="7"/>
        <v>38512</v>
      </c>
      <c r="G77">
        <f t="shared" si="10"/>
        <v>-2.623576000041794E-2</v>
      </c>
      <c r="K77">
        <f t="shared" si="11"/>
        <v>-2.623576000041794E-2</v>
      </c>
      <c r="O77">
        <f t="shared" ca="1" si="9"/>
        <v>-2.8995021947458906E-2</v>
      </c>
      <c r="Q77" s="2">
        <f t="shared" si="8"/>
        <v>40460.823069999999</v>
      </c>
    </row>
    <row r="78" spans="1:17">
      <c r="A78" s="19" t="s">
        <v>66</v>
      </c>
      <c r="B78" s="40" t="s">
        <v>47</v>
      </c>
      <c r="C78" s="18">
        <v>55479.323190000003</v>
      </c>
      <c r="D78" s="18">
        <v>2.9999999999999997E-4</v>
      </c>
      <c r="E78">
        <f t="shared" si="6"/>
        <v>38511.949316036771</v>
      </c>
      <c r="F78">
        <f t="shared" si="7"/>
        <v>38512</v>
      </c>
      <c r="G78">
        <f t="shared" si="10"/>
        <v>-2.6115759996173438E-2</v>
      </c>
      <c r="K78">
        <f t="shared" si="11"/>
        <v>-2.6115759996173438E-2</v>
      </c>
      <c r="O78">
        <f t="shared" ca="1" si="9"/>
        <v>-2.8995021947458906E-2</v>
      </c>
      <c r="Q78" s="2">
        <f t="shared" si="8"/>
        <v>40460.823190000003</v>
      </c>
    </row>
    <row r="79" spans="1:17">
      <c r="A79" s="43" t="s">
        <v>70</v>
      </c>
      <c r="B79" s="44" t="s">
        <v>47</v>
      </c>
      <c r="C79" s="45">
        <v>55671.515019999999</v>
      </c>
      <c r="D79" s="45">
        <v>2.0000000000000001E-4</v>
      </c>
      <c r="E79">
        <f t="shared" si="6"/>
        <v>38884.944153099117</v>
      </c>
      <c r="F79">
        <f t="shared" si="7"/>
        <v>38885</v>
      </c>
      <c r="G79">
        <f t="shared" si="10"/>
        <v>-2.877604999957839E-2</v>
      </c>
      <c r="K79">
        <f t="shared" si="11"/>
        <v>-2.877604999957839E-2</v>
      </c>
      <c r="O79">
        <f t="shared" ca="1" si="9"/>
        <v>-2.9556959823290894E-2</v>
      </c>
      <c r="Q79" s="2">
        <f t="shared" si="8"/>
        <v>40653.015019999999</v>
      </c>
    </row>
    <row r="80" spans="1:17">
      <c r="A80" s="43" t="s">
        <v>70</v>
      </c>
      <c r="B80" s="44" t="s">
        <v>47</v>
      </c>
      <c r="C80" s="45">
        <v>55671.515169999999</v>
      </c>
      <c r="D80" s="45">
        <v>2.0000000000000001E-4</v>
      </c>
      <c r="E80">
        <f t="shared" si="6"/>
        <v>38884.94444421048</v>
      </c>
      <c r="F80">
        <f t="shared" si="7"/>
        <v>38885</v>
      </c>
      <c r="G80">
        <f t="shared" si="10"/>
        <v>-2.862604999972973E-2</v>
      </c>
      <c r="K80">
        <f t="shared" si="11"/>
        <v>-2.862604999972973E-2</v>
      </c>
      <c r="O80">
        <f t="shared" ca="1" si="9"/>
        <v>-2.9556959823290894E-2</v>
      </c>
      <c r="Q80" s="2">
        <f t="shared" si="8"/>
        <v>40653.015169999999</v>
      </c>
    </row>
    <row r="81" spans="1:17">
      <c r="A81" s="43" t="s">
        <v>70</v>
      </c>
      <c r="B81" s="44" t="s">
        <v>47</v>
      </c>
      <c r="C81" s="45">
        <v>55671.515200000002</v>
      </c>
      <c r="D81" s="45">
        <v>2.0000000000000001E-4</v>
      </c>
      <c r="E81">
        <f t="shared" si="6"/>
        <v>38884.944502432758</v>
      </c>
      <c r="F81">
        <f t="shared" si="7"/>
        <v>38885</v>
      </c>
      <c r="G81">
        <f t="shared" si="10"/>
        <v>-2.8596049996849615E-2</v>
      </c>
      <c r="K81">
        <f t="shared" si="11"/>
        <v>-2.8596049996849615E-2</v>
      </c>
      <c r="O81">
        <f t="shared" ca="1" si="9"/>
        <v>-2.9556959823290894E-2</v>
      </c>
      <c r="Q81" s="2">
        <f t="shared" si="8"/>
        <v>40653.015200000002</v>
      </c>
    </row>
    <row r="82" spans="1:17">
      <c r="A82" s="63" t="s">
        <v>298</v>
      </c>
      <c r="B82" s="66" t="s">
        <v>47</v>
      </c>
      <c r="C82" s="63">
        <v>55710.418400000002</v>
      </c>
      <c r="D82" s="63" t="s">
        <v>62</v>
      </c>
      <c r="E82">
        <f t="shared" si="6"/>
        <v>38960.445592906814</v>
      </c>
      <c r="F82">
        <f t="shared" si="7"/>
        <v>38960.5</v>
      </c>
      <c r="G82">
        <f t="shared" si="10"/>
        <v>-2.8034164999553468E-2</v>
      </c>
      <c r="I82">
        <f>+G82</f>
        <v>-2.8034164999553468E-2</v>
      </c>
      <c r="Q82" s="2">
        <f t="shared" si="8"/>
        <v>40691.918400000002</v>
      </c>
    </row>
    <row r="83" spans="1:17">
      <c r="A83" s="43" t="s">
        <v>70</v>
      </c>
      <c r="B83" s="44" t="s">
        <v>47</v>
      </c>
      <c r="C83" s="45">
        <v>56008.49667</v>
      </c>
      <c r="D83" s="45">
        <v>5.9999999999999995E-4</v>
      </c>
      <c r="E83">
        <f t="shared" si="6"/>
        <v>39538.938735671916</v>
      </c>
      <c r="F83">
        <f t="shared" si="7"/>
        <v>39539</v>
      </c>
      <c r="G83">
        <f t="shared" si="10"/>
        <v>-3.1567469995934516E-2</v>
      </c>
      <c r="K83">
        <f>+G83</f>
        <v>-3.1567469995934516E-2</v>
      </c>
      <c r="O83">
        <f t="shared" ref="O83:O92" ca="1" si="12">+C$11+C$12*$F83</f>
        <v>-3.0542234275822054E-2</v>
      </c>
      <c r="Q83" s="2">
        <f t="shared" si="8"/>
        <v>40989.99667</v>
      </c>
    </row>
    <row r="84" spans="1:17">
      <c r="A84" s="43" t="s">
        <v>70</v>
      </c>
      <c r="B84" s="44" t="s">
        <v>47</v>
      </c>
      <c r="C84" s="45">
        <v>56008.497170000002</v>
      </c>
      <c r="D84" s="45">
        <v>6.9999999999999999E-4</v>
      </c>
      <c r="E84">
        <f t="shared" si="6"/>
        <v>39538.939706043129</v>
      </c>
      <c r="F84">
        <f t="shared" si="7"/>
        <v>39539</v>
      </c>
      <c r="G84">
        <f t="shared" si="10"/>
        <v>-3.1067469994013663E-2</v>
      </c>
      <c r="K84">
        <f>+G84</f>
        <v>-3.1067469994013663E-2</v>
      </c>
      <c r="O84">
        <f t="shared" ca="1" si="12"/>
        <v>-3.0542234275822054E-2</v>
      </c>
      <c r="Q84" s="2">
        <f t="shared" si="8"/>
        <v>40989.997170000002</v>
      </c>
    </row>
    <row r="85" spans="1:17">
      <c r="A85" s="43" t="s">
        <v>70</v>
      </c>
      <c r="B85" s="44" t="s">
        <v>47</v>
      </c>
      <c r="C85" s="45">
        <v>56008.498119999997</v>
      </c>
      <c r="D85" s="45">
        <v>6.9999999999999999E-4</v>
      </c>
      <c r="E85">
        <f t="shared" ref="E85:E92" si="13">+(C85-C$7)/C$8</f>
        <v>39538.941549748415</v>
      </c>
      <c r="F85">
        <f t="shared" ref="F85:F95" si="14">ROUND(2*E85,0)/2</f>
        <v>39539</v>
      </c>
      <c r="G85">
        <f t="shared" si="10"/>
        <v>-3.0117469999822788E-2</v>
      </c>
      <c r="K85">
        <f>+G85</f>
        <v>-3.0117469999822788E-2</v>
      </c>
      <c r="O85">
        <f t="shared" ca="1" si="12"/>
        <v>-3.0542234275822054E-2</v>
      </c>
      <c r="Q85" s="2">
        <f t="shared" ref="Q85:Q92" si="15">+C85-15018.5</f>
        <v>40989.998119999997</v>
      </c>
    </row>
    <row r="86" spans="1:17">
      <c r="A86" s="18" t="s">
        <v>69</v>
      </c>
      <c r="B86" s="40" t="s">
        <v>47</v>
      </c>
      <c r="C86" s="18">
        <v>56072.907599999999</v>
      </c>
      <c r="D86" s="18">
        <v>5.0000000000000001E-4</v>
      </c>
      <c r="E86">
        <f t="shared" si="13"/>
        <v>39663.943759768852</v>
      </c>
      <c r="F86">
        <f t="shared" si="14"/>
        <v>39664</v>
      </c>
      <c r="G86">
        <f t="shared" si="10"/>
        <v>-2.8978719994483981E-2</v>
      </c>
      <c r="J86">
        <f>+G86</f>
        <v>-2.8978719994483981E-2</v>
      </c>
      <c r="O86">
        <f t="shared" ca="1" si="12"/>
        <v>-3.0730551258339477E-2</v>
      </c>
      <c r="Q86" s="2">
        <f t="shared" si="15"/>
        <v>41054.407599999999</v>
      </c>
    </row>
    <row r="87" spans="1:17">
      <c r="A87" s="43" t="s">
        <v>70</v>
      </c>
      <c r="B87" s="44" t="s">
        <v>38</v>
      </c>
      <c r="C87" s="45">
        <v>56135.513189999998</v>
      </c>
      <c r="D87" s="45">
        <v>1.5E-3</v>
      </c>
      <c r="E87">
        <f t="shared" si="13"/>
        <v>39785.445083947103</v>
      </c>
      <c r="F87">
        <f t="shared" si="14"/>
        <v>39785.5</v>
      </c>
      <c r="G87">
        <f t="shared" si="10"/>
        <v>-2.829641499556601E-2</v>
      </c>
      <c r="K87">
        <f t="shared" ref="K87:K92" si="16">+G87</f>
        <v>-2.829641499556601E-2</v>
      </c>
      <c r="O87">
        <f t="shared" ca="1" si="12"/>
        <v>-3.0913595365346408E-2</v>
      </c>
      <c r="Q87" s="2">
        <f t="shared" si="15"/>
        <v>41117.013189999998</v>
      </c>
    </row>
    <row r="88" spans="1:17">
      <c r="A88" s="43" t="s">
        <v>70</v>
      </c>
      <c r="B88" s="44" t="s">
        <v>38</v>
      </c>
      <c r="C88" s="45">
        <v>56135.514089999997</v>
      </c>
      <c r="D88" s="45">
        <v>1.1000000000000001E-3</v>
      </c>
      <c r="E88">
        <f t="shared" si="13"/>
        <v>39785.446830615278</v>
      </c>
      <c r="F88">
        <f t="shared" si="14"/>
        <v>39785.5</v>
      </c>
      <c r="G88">
        <f t="shared" si="10"/>
        <v>-2.739641499647405E-2</v>
      </c>
      <c r="K88">
        <f t="shared" si="16"/>
        <v>-2.739641499647405E-2</v>
      </c>
      <c r="O88">
        <f t="shared" ca="1" si="12"/>
        <v>-3.0913595365346408E-2</v>
      </c>
      <c r="Q88" s="2">
        <f t="shared" si="15"/>
        <v>41117.014089999997</v>
      </c>
    </row>
    <row r="89" spans="1:17">
      <c r="A89" s="43" t="s">
        <v>70</v>
      </c>
      <c r="B89" s="44" t="s">
        <v>38</v>
      </c>
      <c r="C89" s="45">
        <v>56135.514490000001</v>
      </c>
      <c r="D89" s="45">
        <v>1.4E-3</v>
      </c>
      <c r="E89">
        <f t="shared" si="13"/>
        <v>39785.447606912254</v>
      </c>
      <c r="F89">
        <f t="shared" si="14"/>
        <v>39785.5</v>
      </c>
      <c r="G89">
        <f t="shared" si="10"/>
        <v>-2.6996414992026985E-2</v>
      </c>
      <c r="K89">
        <f t="shared" si="16"/>
        <v>-2.6996414992026985E-2</v>
      </c>
      <c r="O89">
        <f t="shared" ca="1" si="12"/>
        <v>-3.0913595365346408E-2</v>
      </c>
      <c r="Q89" s="2">
        <f t="shared" si="15"/>
        <v>41117.014490000001</v>
      </c>
    </row>
    <row r="90" spans="1:17">
      <c r="A90" s="46" t="s">
        <v>71</v>
      </c>
      <c r="B90" s="47" t="s">
        <v>47</v>
      </c>
      <c r="C90" s="48">
        <v>56851.471590000001</v>
      </c>
      <c r="D90" s="46">
        <v>5.0000000000000001E-4</v>
      </c>
      <c r="E90">
        <f t="shared" si="13"/>
        <v>41174.935921052005</v>
      </c>
      <c r="F90">
        <f t="shared" si="14"/>
        <v>41175</v>
      </c>
      <c r="G90">
        <f t="shared" si="10"/>
        <v>-3.3017749999999069E-2</v>
      </c>
      <c r="K90">
        <f t="shared" si="16"/>
        <v>-3.3017749999999069E-2</v>
      </c>
      <c r="O90">
        <f t="shared" ca="1" si="12"/>
        <v>-3.3006926943010086E-2</v>
      </c>
      <c r="Q90" s="2">
        <f t="shared" si="15"/>
        <v>41832.971590000001</v>
      </c>
    </row>
    <row r="91" spans="1:17">
      <c r="A91" s="46" t="s">
        <v>71</v>
      </c>
      <c r="B91" s="47" t="s">
        <v>47</v>
      </c>
      <c r="C91" s="48">
        <v>56851.472909999997</v>
      </c>
      <c r="D91" s="46">
        <v>4.0000000000000002E-4</v>
      </c>
      <c r="E91">
        <f t="shared" si="13"/>
        <v>41174.938482831989</v>
      </c>
      <c r="F91">
        <f t="shared" si="14"/>
        <v>41175</v>
      </c>
      <c r="G91">
        <f t="shared" si="10"/>
        <v>-3.1697750004241243E-2</v>
      </c>
      <c r="K91">
        <f t="shared" si="16"/>
        <v>-3.1697750004241243E-2</v>
      </c>
      <c r="O91">
        <f t="shared" ca="1" si="12"/>
        <v>-3.3006926943010086E-2</v>
      </c>
      <c r="Q91" s="2">
        <f t="shared" si="15"/>
        <v>41832.972909999997</v>
      </c>
    </row>
    <row r="92" spans="1:17" s="74" customFormat="1" ht="12" customHeight="1">
      <c r="A92" s="46" t="s">
        <v>71</v>
      </c>
      <c r="B92" s="47" t="s">
        <v>47</v>
      </c>
      <c r="C92" s="73">
        <v>56851.473039999997</v>
      </c>
      <c r="D92" s="46">
        <v>4.0000000000000002E-4</v>
      </c>
      <c r="E92" s="74">
        <f t="shared" si="13"/>
        <v>41174.938735128504</v>
      </c>
      <c r="F92" s="74">
        <f t="shared" si="14"/>
        <v>41175</v>
      </c>
      <c r="G92" s="74">
        <f t="shared" si="10"/>
        <v>-3.156775000388734E-2</v>
      </c>
      <c r="K92" s="74">
        <f t="shared" si="16"/>
        <v>-3.156775000388734E-2</v>
      </c>
      <c r="O92" s="74">
        <f t="shared" ca="1" si="12"/>
        <v>-3.3006926943010086E-2</v>
      </c>
      <c r="Q92" s="75">
        <f t="shared" si="15"/>
        <v>41832.973039999997</v>
      </c>
    </row>
    <row r="93" spans="1:17" s="74" customFormat="1" ht="12" customHeight="1">
      <c r="A93" s="68" t="s">
        <v>322</v>
      </c>
      <c r="B93" s="69" t="s">
        <v>38</v>
      </c>
      <c r="C93" s="70">
        <v>57923.475349999964</v>
      </c>
      <c r="D93" s="70">
        <v>4.0000000000000002E-4</v>
      </c>
      <c r="E93" s="74">
        <f>+(C93-C$7)/C$8</f>
        <v>43255.419091389747</v>
      </c>
      <c r="F93" s="74">
        <f t="shared" si="14"/>
        <v>43255.5</v>
      </c>
      <c r="G93" s="74">
        <f>+C93-(C$7+F93*C$8)</f>
        <v>-4.1689515033795033E-2</v>
      </c>
      <c r="K93" s="74">
        <f>+G93</f>
        <v>-4.1689515033795033E-2</v>
      </c>
      <c r="O93" s="74">
        <f ca="1">+C$11+C$12*$F93</f>
        <v>-3.6141274800030064E-2</v>
      </c>
      <c r="Q93" s="75">
        <f>+C93-15018.5</f>
        <v>42904.975349999964</v>
      </c>
    </row>
    <row r="94" spans="1:17" s="74" customFormat="1" ht="12" customHeight="1">
      <c r="A94" s="68" t="s">
        <v>322</v>
      </c>
      <c r="B94" s="69" t="s">
        <v>38</v>
      </c>
      <c r="C94" s="70">
        <v>57923.476269999985</v>
      </c>
      <c r="D94" s="70">
        <v>5.0000000000000001E-4</v>
      </c>
      <c r="E94" s="74">
        <f>+(C94-C$7)/C$8</f>
        <v>43255.420876872813</v>
      </c>
      <c r="F94" s="74">
        <f t="shared" si="14"/>
        <v>43255.5</v>
      </c>
      <c r="G94" s="74">
        <f>+C94-(C$7+F94*C$8)</f>
        <v>-4.0769515013380442E-2</v>
      </c>
      <c r="K94" s="74">
        <f>+G94</f>
        <v>-4.0769515013380442E-2</v>
      </c>
      <c r="O94" s="74">
        <f ca="1">+C$11+C$12*$F94</f>
        <v>-3.6141274800030064E-2</v>
      </c>
      <c r="Q94" s="75">
        <f>+C94-15018.5</f>
        <v>42904.976269999985</v>
      </c>
    </row>
    <row r="95" spans="1:17" s="74" customFormat="1" ht="12" customHeight="1">
      <c r="A95" s="68" t="s">
        <v>322</v>
      </c>
      <c r="B95" s="69" t="s">
        <v>38</v>
      </c>
      <c r="C95" s="70">
        <v>57923.476489999797</v>
      </c>
      <c r="D95" s="70">
        <v>2.9999999999999997E-4</v>
      </c>
      <c r="E95" s="74">
        <f>+(C95-C$7)/C$8</f>
        <v>43255.421303835785</v>
      </c>
      <c r="F95" s="74">
        <f t="shared" si="14"/>
        <v>43255.5</v>
      </c>
      <c r="G95" s="74">
        <f>+C95-(C$7+F95*C$8)</f>
        <v>-4.054951520083705E-2</v>
      </c>
      <c r="K95" s="74">
        <f>+G95</f>
        <v>-4.054951520083705E-2</v>
      </c>
      <c r="O95" s="74">
        <f ca="1">+C$11+C$12*$F95</f>
        <v>-3.6141274800030064E-2</v>
      </c>
      <c r="Q95" s="75">
        <f>+C95-15018.5</f>
        <v>42904.976489999797</v>
      </c>
    </row>
    <row r="96" spans="1:17" s="74" customFormat="1" ht="12" customHeight="1">
      <c r="A96" s="71" t="s">
        <v>323</v>
      </c>
      <c r="B96" s="72" t="s">
        <v>47</v>
      </c>
      <c r="C96" s="76">
        <v>59828.665800000002</v>
      </c>
      <c r="D96" s="77">
        <v>1.1000000000000001E-3</v>
      </c>
      <c r="E96" s="74">
        <f>+(C96-C$7)/C$8</f>
        <v>46952.903013939991</v>
      </c>
      <c r="F96" s="74">
        <f t="shared" ref="F96" si="17">ROUND(2*E96,0)/2</f>
        <v>46953</v>
      </c>
      <c r="G96" s="74">
        <f>+C96-(C$7+F96*C$8)</f>
        <v>-4.9973689994658343E-2</v>
      </c>
      <c r="K96" s="74">
        <f>+G96</f>
        <v>-4.9973689994658343E-2</v>
      </c>
      <c r="O96" s="74">
        <f ca="1">+C$11+C$12*$F96</f>
        <v>-4.1711691142895434E-2</v>
      </c>
      <c r="Q96" s="75">
        <f>+C96-15018.5</f>
        <v>44810.165800000002</v>
      </c>
    </row>
    <row r="97" spans="2:17" s="74" customFormat="1" ht="12" customHeight="1">
      <c r="B97" s="78"/>
      <c r="Q97" s="75"/>
    </row>
    <row r="98" spans="2:17" s="74" customFormat="1" ht="12" customHeight="1">
      <c r="B98" s="78"/>
      <c r="Q98" s="75"/>
    </row>
    <row r="99" spans="2:17" s="74" customFormat="1" ht="12" customHeight="1">
      <c r="B99" s="78"/>
      <c r="Q99" s="75"/>
    </row>
    <row r="100" spans="2:17" s="74" customFormat="1" ht="12" customHeight="1">
      <c r="B100" s="78"/>
      <c r="Q100" s="75"/>
    </row>
    <row r="101" spans="2:17" s="74" customFormat="1" ht="12" customHeight="1">
      <c r="B101" s="78"/>
      <c r="Q101" s="75"/>
    </row>
    <row r="102" spans="2:17" s="74" customFormat="1" ht="12" customHeight="1">
      <c r="B102" s="78"/>
      <c r="Q102" s="75"/>
    </row>
    <row r="103" spans="2:17" s="74" customFormat="1" ht="12" customHeight="1">
      <c r="B103" s="78"/>
      <c r="Q103" s="75"/>
    </row>
    <row r="104" spans="2:17" s="74" customFormat="1" ht="12" customHeight="1">
      <c r="B104" s="78"/>
      <c r="Q104" s="75"/>
    </row>
    <row r="105" spans="2:17" s="74" customFormat="1" ht="12" customHeight="1">
      <c r="B105" s="78"/>
      <c r="Q105" s="75"/>
    </row>
    <row r="106" spans="2:17" s="74" customFormat="1" ht="12" customHeight="1">
      <c r="B106" s="78"/>
      <c r="Q106" s="75"/>
    </row>
    <row r="107" spans="2:17" s="74" customFormat="1" ht="12" customHeight="1">
      <c r="B107" s="78"/>
      <c r="Q107" s="75"/>
    </row>
    <row r="108" spans="2:17" s="74" customFormat="1" ht="12" customHeight="1">
      <c r="B108" s="78"/>
      <c r="Q108" s="75"/>
    </row>
    <row r="109" spans="2:17" s="74" customFormat="1" ht="12" customHeight="1">
      <c r="B109" s="78"/>
      <c r="Q109" s="75"/>
    </row>
    <row r="110" spans="2:17">
      <c r="Q110" s="2"/>
    </row>
    <row r="111" spans="2:17">
      <c r="Q111" s="2"/>
    </row>
    <row r="112" spans="2:17">
      <c r="Q112" s="2"/>
    </row>
    <row r="113" spans="17:17">
      <c r="Q113" s="2"/>
    </row>
    <row r="114" spans="17:17">
      <c r="Q114" s="2"/>
    </row>
    <row r="115" spans="17:17">
      <c r="Q115" s="2"/>
    </row>
    <row r="116" spans="17:17">
      <c r="Q116" s="2"/>
    </row>
    <row r="117" spans="17:17">
      <c r="Q117" s="2"/>
    </row>
    <row r="118" spans="17:17">
      <c r="Q118" s="2"/>
    </row>
    <row r="119" spans="17:17">
      <c r="Q119" s="2"/>
    </row>
    <row r="120" spans="17:17">
      <c r="Q120" s="2"/>
    </row>
    <row r="121" spans="17:17">
      <c r="Q121" s="2"/>
    </row>
    <row r="122" spans="17:17">
      <c r="Q122" s="2"/>
    </row>
    <row r="123" spans="17:17">
      <c r="Q123" s="2"/>
    </row>
    <row r="124" spans="17:17">
      <c r="Q124" s="2"/>
    </row>
    <row r="125" spans="17:17">
      <c r="Q125" s="2"/>
    </row>
    <row r="126" spans="17:17">
      <c r="Q126" s="2"/>
    </row>
    <row r="127" spans="17:17">
      <c r="Q127" s="2"/>
    </row>
    <row r="128" spans="17:17">
      <c r="Q128" s="2"/>
    </row>
    <row r="129" spans="17:17">
      <c r="Q129" s="2"/>
    </row>
    <row r="130" spans="17:17">
      <c r="Q130" s="2"/>
    </row>
    <row r="131" spans="17:17">
      <c r="Q131" s="2"/>
    </row>
    <row r="132" spans="17:17">
      <c r="Q132" s="2"/>
    </row>
    <row r="133" spans="17:17">
      <c r="Q133" s="2"/>
    </row>
    <row r="134" spans="17:17">
      <c r="Q134" s="2"/>
    </row>
    <row r="135" spans="17:17">
      <c r="Q135" s="2"/>
    </row>
    <row r="136" spans="17:17">
      <c r="Q136" s="2"/>
    </row>
    <row r="137" spans="17:17">
      <c r="Q137" s="2"/>
    </row>
    <row r="138" spans="17:17">
      <c r="Q138" s="2"/>
    </row>
    <row r="139" spans="17:17">
      <c r="Q139" s="2"/>
    </row>
    <row r="140" spans="17:17">
      <c r="Q140" s="2"/>
    </row>
    <row r="141" spans="17:17">
      <c r="Q141" s="2"/>
    </row>
    <row r="142" spans="17:17">
      <c r="Q142" s="2"/>
    </row>
    <row r="143" spans="17:17">
      <c r="Q143" s="2"/>
    </row>
    <row r="144" spans="17:17">
      <c r="Q144" s="2"/>
    </row>
    <row r="145" spans="17:17">
      <c r="Q145" s="2"/>
    </row>
    <row r="146" spans="17:17">
      <c r="Q146" s="2"/>
    </row>
    <row r="147" spans="17:17">
      <c r="Q147" s="2"/>
    </row>
    <row r="148" spans="17:17">
      <c r="Q148" s="2"/>
    </row>
    <row r="149" spans="17:17">
      <c r="Q149" s="2"/>
    </row>
    <row r="150" spans="17:17">
      <c r="Q150" s="2"/>
    </row>
    <row r="151" spans="17:17">
      <c r="Q151" s="2"/>
    </row>
    <row r="152" spans="17:17">
      <c r="Q152" s="2"/>
    </row>
    <row r="153" spans="17:17">
      <c r="Q153" s="2"/>
    </row>
    <row r="154" spans="17:17">
      <c r="Q154" s="2"/>
    </row>
    <row r="155" spans="17:17">
      <c r="Q155" s="2"/>
    </row>
    <row r="156" spans="17:17">
      <c r="Q156" s="2"/>
    </row>
    <row r="157" spans="17:17">
      <c r="Q157" s="2"/>
    </row>
    <row r="158" spans="17:17">
      <c r="Q158" s="2"/>
    </row>
    <row r="159" spans="17:17">
      <c r="Q159" s="2"/>
    </row>
    <row r="160" spans="17:17">
      <c r="Q160" s="2"/>
    </row>
    <row r="161" spans="17:17">
      <c r="Q161" s="2"/>
    </row>
    <row r="162" spans="17:17">
      <c r="Q162" s="2"/>
    </row>
    <row r="163" spans="17:17">
      <c r="Q163" s="2"/>
    </row>
    <row r="164" spans="17:17">
      <c r="Q164" s="2"/>
    </row>
    <row r="165" spans="17:17">
      <c r="Q165" s="2"/>
    </row>
    <row r="166" spans="17:17">
      <c r="Q166" s="2"/>
    </row>
    <row r="167" spans="17:17">
      <c r="Q167" s="2"/>
    </row>
    <row r="168" spans="17:17">
      <c r="Q168" s="2"/>
    </row>
    <row r="169" spans="17:17">
      <c r="Q169" s="2"/>
    </row>
    <row r="170" spans="17:17">
      <c r="Q170" s="2"/>
    </row>
    <row r="171" spans="17:17">
      <c r="Q171" s="2"/>
    </row>
  </sheetData>
  <protectedRanges>
    <protectedRange sqref="A93:D95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E46"/>
  <sheetViews>
    <sheetView workbookViewId="0">
      <selection activeCell="N6" sqref="N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30</v>
      </c>
    </row>
    <row r="2" spans="1:15">
      <c r="A2" t="s">
        <v>26</v>
      </c>
    </row>
    <row r="4" spans="1:15">
      <c r="A4" s="8" t="s">
        <v>0</v>
      </c>
      <c r="C4" s="3">
        <v>35635.396999999997</v>
      </c>
      <c r="D4" s="4">
        <v>0.51514000000000004</v>
      </c>
    </row>
    <row r="5" spans="1:15" ht="13.5" thickTop="1"/>
    <row r="6" spans="1:15">
      <c r="A6" s="8" t="s">
        <v>1</v>
      </c>
      <c r="N6" t="s">
        <v>43</v>
      </c>
      <c r="O6">
        <v>0.51526680000000002</v>
      </c>
    </row>
    <row r="7" spans="1:15">
      <c r="A7" t="s">
        <v>2</v>
      </c>
      <c r="C7">
        <f>+C4</f>
        <v>35635.396999999997</v>
      </c>
    </row>
    <row r="8" spans="1:15">
      <c r="A8" t="s">
        <v>3</v>
      </c>
      <c r="C8">
        <f>+D4</f>
        <v>0.51514000000000004</v>
      </c>
    </row>
    <row r="10" spans="1:15" ht="13.5" thickBot="1">
      <c r="C10" s="7" t="s">
        <v>21</v>
      </c>
      <c r="D10" s="7" t="s">
        <v>22</v>
      </c>
    </row>
    <row r="11" spans="1:15">
      <c r="A11" t="s">
        <v>16</v>
      </c>
      <c r="C11">
        <f>INTERCEPT(G21:G993,$F21:$F993)</f>
        <v>-5.4342276507029358E-4</v>
      </c>
      <c r="D11" s="6"/>
    </row>
    <row r="12" spans="1:15">
      <c r="A12" t="s">
        <v>17</v>
      </c>
      <c r="C12">
        <f>SLOPE(G21:G993,$F21:$F993)</f>
        <v>2.0309190117360097E-6</v>
      </c>
      <c r="D12" s="6"/>
    </row>
    <row r="13" spans="1:15">
      <c r="A13" t="s">
        <v>20</v>
      </c>
      <c r="C13" s="6" t="s">
        <v>14</v>
      </c>
      <c r="D13" s="6"/>
    </row>
    <row r="14" spans="1:15">
      <c r="A14" t="s">
        <v>25</v>
      </c>
    </row>
    <row r="15" spans="1:15">
      <c r="A15" s="5" t="s">
        <v>18</v>
      </c>
      <c r="C15">
        <f>+$C7+C11</f>
        <v>35635.396456577233</v>
      </c>
    </row>
    <row r="16" spans="1:15">
      <c r="A16" s="8" t="s">
        <v>4</v>
      </c>
      <c r="C16">
        <f>+$C8+C12</f>
        <v>0.51514203091901178</v>
      </c>
    </row>
    <row r="17" spans="1:31" ht="13.5" thickBot="1"/>
    <row r="18" spans="1:31">
      <c r="A18" s="8" t="s">
        <v>5</v>
      </c>
      <c r="C18" s="3">
        <f>+C15</f>
        <v>35635.396456577233</v>
      </c>
      <c r="D18" s="4">
        <f>+C16</f>
        <v>0.51514203091901178</v>
      </c>
    </row>
    <row r="19" spans="1:31" ht="13.5" thickTop="1"/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39</v>
      </c>
      <c r="J20" s="10" t="s">
        <v>44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1">
      <c r="A21" t="s">
        <v>12</v>
      </c>
      <c r="C21">
        <v>35635.396999999997</v>
      </c>
      <c r="D21" s="6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+C$11+C$12*$F21</f>
        <v>-5.4342276507029358E-4</v>
      </c>
      <c r="Q21" s="2">
        <f>+C21-15018.5</f>
        <v>20616.896999999997</v>
      </c>
    </row>
    <row r="22" spans="1:31">
      <c r="A22" t="s">
        <v>32</v>
      </c>
      <c r="C22" s="11">
        <v>50599.495999999999</v>
      </c>
      <c r="D22">
        <v>5.0000000000000001E-3</v>
      </c>
      <c r="E22">
        <f t="shared" ref="E22:E29" si="0">+(C22-C$7)/C$8</f>
        <v>29048.606204138683</v>
      </c>
      <c r="F22">
        <f t="shared" ref="F22:F44" si="1">ROUND(2*E22,0)/2</f>
        <v>29048.5</v>
      </c>
      <c r="G22">
        <f t="shared" ref="G22:G29" si="2">+C22-(C$7+F22*C$8)</f>
        <v>5.4709999996703118E-2</v>
      </c>
      <c r="I22">
        <f t="shared" ref="I22:I29" si="3">+G22</f>
        <v>5.4709999996703118E-2</v>
      </c>
      <c r="O22">
        <f t="shared" ref="O22:O29" si="4">+C$11+C$12*$F22</f>
        <v>5.8451728147343188E-2</v>
      </c>
      <c r="Q22" s="2">
        <f t="shared" ref="Q22:Q29" si="5">+C22-15018.5</f>
        <v>35580.995999999999</v>
      </c>
      <c r="AA22">
        <v>12</v>
      </c>
      <c r="AC22" t="s">
        <v>31</v>
      </c>
      <c r="AE22" t="s">
        <v>33</v>
      </c>
    </row>
    <row r="23" spans="1:31">
      <c r="A23" t="s">
        <v>35</v>
      </c>
      <c r="B23" t="s">
        <v>38</v>
      </c>
      <c r="C23" s="11">
        <v>50710.284</v>
      </c>
      <c r="D23">
        <v>2E-3</v>
      </c>
      <c r="E23">
        <f t="shared" si="0"/>
        <v>29263.670070272161</v>
      </c>
      <c r="F23">
        <f t="shared" si="1"/>
        <v>29263.5</v>
      </c>
      <c r="G23">
        <f t="shared" si="2"/>
        <v>8.7610000002314337E-2</v>
      </c>
      <c r="I23">
        <f t="shared" si="3"/>
        <v>8.7610000002314337E-2</v>
      </c>
      <c r="O23">
        <f t="shared" si="4"/>
        <v>5.8888375734866424E-2</v>
      </c>
      <c r="Q23" s="2">
        <f t="shared" si="5"/>
        <v>35691.784</v>
      </c>
      <c r="AA23">
        <v>16</v>
      </c>
      <c r="AC23" t="s">
        <v>34</v>
      </c>
      <c r="AE23" t="s">
        <v>33</v>
      </c>
    </row>
    <row r="24" spans="1:31">
      <c r="A24" t="s">
        <v>35</v>
      </c>
      <c r="C24" s="11">
        <v>50770.311000000002</v>
      </c>
      <c r="D24">
        <v>3.0000000000000001E-3</v>
      </c>
      <c r="E24">
        <f t="shared" si="0"/>
        <v>29380.195674962153</v>
      </c>
      <c r="F24">
        <f t="shared" si="1"/>
        <v>29380</v>
      </c>
      <c r="G24">
        <f t="shared" si="2"/>
        <v>0.10080000000016298</v>
      </c>
      <c r="I24">
        <f t="shared" si="3"/>
        <v>0.10080000000016298</v>
      </c>
      <c r="O24">
        <f t="shared" si="4"/>
        <v>5.912497779973367E-2</v>
      </c>
      <c r="Q24" s="2">
        <f t="shared" si="5"/>
        <v>35751.811000000002</v>
      </c>
      <c r="AA24">
        <v>17</v>
      </c>
      <c r="AC24" t="s">
        <v>34</v>
      </c>
      <c r="AE24" t="s">
        <v>33</v>
      </c>
    </row>
    <row r="25" spans="1:31">
      <c r="A25" t="s">
        <v>35</v>
      </c>
      <c r="C25" s="11">
        <v>50774.434000000001</v>
      </c>
      <c r="D25">
        <v>2E-3</v>
      </c>
      <c r="E25">
        <f t="shared" si="0"/>
        <v>29388.199324455494</v>
      </c>
      <c r="F25">
        <f t="shared" si="1"/>
        <v>29388</v>
      </c>
      <c r="G25">
        <f t="shared" si="2"/>
        <v>0.10268000000360189</v>
      </c>
      <c r="I25">
        <f t="shared" si="3"/>
        <v>0.10268000000360189</v>
      </c>
      <c r="O25">
        <f t="shared" si="4"/>
        <v>5.9141225151827563E-2</v>
      </c>
      <c r="Q25" s="2">
        <f t="shared" si="5"/>
        <v>35755.934000000001</v>
      </c>
      <c r="AA25">
        <v>18</v>
      </c>
      <c r="AC25" t="s">
        <v>34</v>
      </c>
      <c r="AE25" t="s">
        <v>33</v>
      </c>
    </row>
    <row r="26" spans="1:31">
      <c r="A26" t="s">
        <v>35</v>
      </c>
      <c r="B26" t="s">
        <v>38</v>
      </c>
      <c r="C26" s="11">
        <v>50778.296999999999</v>
      </c>
      <c r="D26">
        <v>2E-3</v>
      </c>
      <c r="E26">
        <f t="shared" si="0"/>
        <v>29395.698256784563</v>
      </c>
      <c r="F26">
        <f t="shared" si="1"/>
        <v>29395.5</v>
      </c>
      <c r="G26">
        <f t="shared" si="2"/>
        <v>0.10212999999930616</v>
      </c>
      <c r="I26">
        <f t="shared" si="3"/>
        <v>0.10212999999930616</v>
      </c>
      <c r="O26">
        <f t="shared" si="4"/>
        <v>5.9156457044415578E-2</v>
      </c>
      <c r="Q26" s="2">
        <f t="shared" si="5"/>
        <v>35759.796999999999</v>
      </c>
      <c r="AA26">
        <v>20</v>
      </c>
      <c r="AC26" t="s">
        <v>34</v>
      </c>
      <c r="AE26" t="s">
        <v>33</v>
      </c>
    </row>
    <row r="27" spans="1:31">
      <c r="A27" t="s">
        <v>36</v>
      </c>
      <c r="C27" s="11">
        <v>50822.351999999999</v>
      </c>
      <c r="D27">
        <v>1.1000000000000001E-3</v>
      </c>
      <c r="E27">
        <f t="shared" si="0"/>
        <v>29481.218697829718</v>
      </c>
      <c r="F27">
        <f t="shared" si="1"/>
        <v>29481</v>
      </c>
      <c r="G27">
        <f t="shared" si="2"/>
        <v>0.11265999999886844</v>
      </c>
      <c r="I27">
        <f t="shared" si="3"/>
        <v>0.11265999999886844</v>
      </c>
      <c r="O27">
        <f t="shared" si="4"/>
        <v>5.9330100619919009E-2</v>
      </c>
      <c r="Q27" s="2">
        <f t="shared" si="5"/>
        <v>35803.851999999999</v>
      </c>
      <c r="AA27">
        <v>32</v>
      </c>
      <c r="AC27" t="s">
        <v>34</v>
      </c>
      <c r="AE27" t="s">
        <v>33</v>
      </c>
    </row>
    <row r="28" spans="1:31">
      <c r="A28" t="s">
        <v>36</v>
      </c>
      <c r="B28" t="s">
        <v>38</v>
      </c>
      <c r="C28" s="11">
        <v>50823.6397</v>
      </c>
      <c r="D28">
        <v>2.0000000000000001E-4</v>
      </c>
      <c r="E28">
        <f t="shared" si="0"/>
        <v>29483.718406646738</v>
      </c>
      <c r="F28">
        <f t="shared" si="1"/>
        <v>29483.5</v>
      </c>
      <c r="G28">
        <f t="shared" si="2"/>
        <v>0.11250999999901978</v>
      </c>
      <c r="I28">
        <f t="shared" si="3"/>
        <v>0.11250999999901978</v>
      </c>
      <c r="O28">
        <f t="shared" si="4"/>
        <v>5.9335177917448349E-2</v>
      </c>
      <c r="Q28" s="2">
        <f t="shared" si="5"/>
        <v>35805.1397</v>
      </c>
      <c r="AA28">
        <v>71</v>
      </c>
      <c r="AC28" t="s">
        <v>34</v>
      </c>
      <c r="AE28" t="s">
        <v>33</v>
      </c>
    </row>
    <row r="29" spans="1:31">
      <c r="A29" t="s">
        <v>37</v>
      </c>
      <c r="C29" s="11">
        <v>50941.380700000002</v>
      </c>
      <c r="D29">
        <v>8.0000000000000004E-4</v>
      </c>
      <c r="E29">
        <f t="shared" si="0"/>
        <v>29712.279574484612</v>
      </c>
      <c r="F29">
        <f t="shared" si="1"/>
        <v>29712.5</v>
      </c>
      <c r="G29">
        <f t="shared" si="2"/>
        <v>-0.11354999999457505</v>
      </c>
      <c r="I29">
        <f t="shared" si="3"/>
        <v>-0.11354999999457505</v>
      </c>
      <c r="O29">
        <f t="shared" si="4"/>
        <v>5.9800258371135895E-2</v>
      </c>
      <c r="Q29" s="2">
        <f t="shared" si="5"/>
        <v>35922.880700000002</v>
      </c>
      <c r="AA29">
        <v>30</v>
      </c>
      <c r="AC29" t="s">
        <v>34</v>
      </c>
      <c r="AE29" t="s">
        <v>33</v>
      </c>
    </row>
    <row r="30" spans="1:31">
      <c r="A30" t="s">
        <v>40</v>
      </c>
      <c r="C30" s="12">
        <v>52375.620600000002</v>
      </c>
      <c r="D30" s="12">
        <v>4.0000000000000002E-4</v>
      </c>
      <c r="E30">
        <f t="shared" ref="E30:E44" si="6">+(C30-C$7)/C$8</f>
        <v>32496.454556043023</v>
      </c>
      <c r="F30">
        <f t="shared" si="1"/>
        <v>32496.5</v>
      </c>
      <c r="G30">
        <f t="shared" ref="G30:G44" si="7">+C30-(C$7+F30*C$8)</f>
        <v>-2.3410000001604203E-2</v>
      </c>
      <c r="J30">
        <f t="shared" ref="J30:J44" si="8">+G30</f>
        <v>-2.3410000001604203E-2</v>
      </c>
      <c r="O30">
        <f t="shared" ref="O30:O44" si="9">+C$11+C$12*$F30</f>
        <v>6.5454336899808951E-2</v>
      </c>
      <c r="Q30" s="2">
        <f t="shared" ref="Q30:Q44" si="10">+C30-15018.5</f>
        <v>37357.120600000002</v>
      </c>
    </row>
    <row r="31" spans="1:31">
      <c r="A31" t="s">
        <v>41</v>
      </c>
      <c r="C31" s="12">
        <v>51287.380599999997</v>
      </c>
      <c r="D31" s="12">
        <v>5.9999999999999995E-4</v>
      </c>
      <c r="E31">
        <f t="shared" si="6"/>
        <v>30383.94145280894</v>
      </c>
      <c r="F31">
        <f t="shared" si="1"/>
        <v>30384</v>
      </c>
      <c r="G31">
        <f t="shared" si="7"/>
        <v>-3.0160000002069864E-2</v>
      </c>
      <c r="J31">
        <f t="shared" si="8"/>
        <v>-3.0160000002069864E-2</v>
      </c>
      <c r="O31">
        <f t="shared" si="9"/>
        <v>6.1164020487516624E-2</v>
      </c>
      <c r="Q31" s="2">
        <f t="shared" si="10"/>
        <v>36268.880599999997</v>
      </c>
    </row>
    <row r="32" spans="1:31">
      <c r="A32" t="s">
        <v>42</v>
      </c>
      <c r="C32" s="12">
        <v>35699.274999999907</v>
      </c>
      <c r="D32" s="12"/>
      <c r="E32">
        <f t="shared" si="6"/>
        <v>124.00124238053667</v>
      </c>
      <c r="F32">
        <f t="shared" si="1"/>
        <v>124</v>
      </c>
      <c r="G32">
        <f t="shared" si="7"/>
        <v>6.3999991107266396E-4</v>
      </c>
      <c r="J32">
        <f t="shared" si="8"/>
        <v>6.3999991107266396E-4</v>
      </c>
      <c r="O32">
        <f t="shared" si="9"/>
        <v>-2.9158880761502836E-4</v>
      </c>
      <c r="Q32" s="2">
        <f t="shared" si="10"/>
        <v>20680.774999999907</v>
      </c>
    </row>
    <row r="33" spans="1:17">
      <c r="A33" t="s">
        <v>42</v>
      </c>
      <c r="C33" s="12">
        <v>47706.535999999847</v>
      </c>
      <c r="D33" s="12">
        <v>3.0000000000000001E-3</v>
      </c>
      <c r="E33">
        <f t="shared" si="6"/>
        <v>23432.734790542083</v>
      </c>
      <c r="F33">
        <f t="shared" si="1"/>
        <v>23432.5</v>
      </c>
      <c r="G33">
        <f t="shared" si="7"/>
        <v>0.12094999985129107</v>
      </c>
      <c r="J33">
        <f t="shared" si="8"/>
        <v>0.12094999985129107</v>
      </c>
      <c r="O33">
        <f t="shared" si="9"/>
        <v>4.7046086977433753E-2</v>
      </c>
      <c r="Q33" s="2">
        <f t="shared" si="10"/>
        <v>32688.035999999847</v>
      </c>
    </row>
    <row r="34" spans="1:17">
      <c r="A34" t="s">
        <v>42</v>
      </c>
      <c r="C34" s="12">
        <v>50599.49599999981</v>
      </c>
      <c r="D34" s="12">
        <v>5.0000000000000001E-3</v>
      </c>
      <c r="E34">
        <f t="shared" si="6"/>
        <v>29048.606204138316</v>
      </c>
      <c r="F34">
        <f t="shared" si="1"/>
        <v>29048.5</v>
      </c>
      <c r="G34">
        <f t="shared" si="7"/>
        <v>5.470999980752822E-2</v>
      </c>
      <c r="J34">
        <f t="shared" si="8"/>
        <v>5.470999980752822E-2</v>
      </c>
      <c r="O34">
        <f t="shared" si="9"/>
        <v>5.8451728147343188E-2</v>
      </c>
      <c r="Q34" s="2">
        <f t="shared" si="10"/>
        <v>35580.99599999981</v>
      </c>
    </row>
    <row r="35" spans="1:17">
      <c r="A35" t="s">
        <v>42</v>
      </c>
      <c r="C35" s="12">
        <v>50710.283999999985</v>
      </c>
      <c r="D35" s="12">
        <v>2E-3</v>
      </c>
      <c r="E35">
        <f t="shared" si="6"/>
        <v>29263.670070272132</v>
      </c>
      <c r="F35">
        <f t="shared" si="1"/>
        <v>29263.5</v>
      </c>
      <c r="G35">
        <f t="shared" si="7"/>
        <v>8.7609999987762421E-2</v>
      </c>
      <c r="J35">
        <f t="shared" si="8"/>
        <v>8.7609999987762421E-2</v>
      </c>
      <c r="O35">
        <f t="shared" si="9"/>
        <v>5.8888375734866424E-2</v>
      </c>
      <c r="Q35" s="2">
        <f t="shared" si="10"/>
        <v>35691.783999999985</v>
      </c>
    </row>
    <row r="36" spans="1:17">
      <c r="A36" t="s">
        <v>42</v>
      </c>
      <c r="C36" s="12">
        <v>50770.31100000022</v>
      </c>
      <c r="D36" s="12">
        <v>3.0000000000000001E-3</v>
      </c>
      <c r="E36">
        <f t="shared" si="6"/>
        <v>29380.195674962575</v>
      </c>
      <c r="F36">
        <f t="shared" si="1"/>
        <v>29380</v>
      </c>
      <c r="G36">
        <f t="shared" si="7"/>
        <v>0.10080000021844171</v>
      </c>
      <c r="J36">
        <f t="shared" si="8"/>
        <v>0.10080000021844171</v>
      </c>
      <c r="O36">
        <f t="shared" si="9"/>
        <v>5.912497779973367E-2</v>
      </c>
      <c r="Q36" s="2">
        <f t="shared" si="10"/>
        <v>35751.81100000022</v>
      </c>
    </row>
    <row r="37" spans="1:17">
      <c r="A37" t="s">
        <v>42</v>
      </c>
      <c r="C37" s="12">
        <v>50774.433999999892</v>
      </c>
      <c r="D37" s="12">
        <v>2E-3</v>
      </c>
      <c r="E37">
        <f t="shared" si="6"/>
        <v>29388.19932445528</v>
      </c>
      <c r="F37">
        <f t="shared" si="1"/>
        <v>29388</v>
      </c>
      <c r="G37">
        <f t="shared" si="7"/>
        <v>0.10267999989446253</v>
      </c>
      <c r="J37">
        <f t="shared" si="8"/>
        <v>0.10267999989446253</v>
      </c>
      <c r="O37">
        <f t="shared" si="9"/>
        <v>5.9141225151827563E-2</v>
      </c>
      <c r="Q37" s="2">
        <f t="shared" si="10"/>
        <v>35755.933999999892</v>
      </c>
    </row>
    <row r="38" spans="1:17">
      <c r="A38" t="s">
        <v>42</v>
      </c>
      <c r="C38" s="12">
        <v>50778.296999999788</v>
      </c>
      <c r="D38" s="12">
        <v>2E-3</v>
      </c>
      <c r="E38">
        <f t="shared" si="6"/>
        <v>29395.698256784155</v>
      </c>
      <c r="F38">
        <f t="shared" si="1"/>
        <v>29395.5</v>
      </c>
      <c r="G38">
        <f t="shared" si="7"/>
        <v>0.10212999978830339</v>
      </c>
      <c r="J38">
        <f t="shared" si="8"/>
        <v>0.10212999978830339</v>
      </c>
      <c r="O38">
        <f t="shared" si="9"/>
        <v>5.9156457044415578E-2</v>
      </c>
      <c r="Q38" s="2">
        <f t="shared" si="10"/>
        <v>35759.796999999788</v>
      </c>
    </row>
    <row r="39" spans="1:17">
      <c r="A39" t="s">
        <v>42</v>
      </c>
      <c r="C39" s="12">
        <v>50822.351999999955</v>
      </c>
      <c r="D39" s="12">
        <v>1.1000000000000001E-3</v>
      </c>
      <c r="E39">
        <f t="shared" si="6"/>
        <v>29481.218697829634</v>
      </c>
      <c r="F39">
        <f t="shared" si="1"/>
        <v>29481</v>
      </c>
      <c r="G39">
        <f t="shared" si="7"/>
        <v>0.1126599999552127</v>
      </c>
      <c r="J39">
        <f t="shared" si="8"/>
        <v>0.1126599999552127</v>
      </c>
      <c r="O39">
        <f t="shared" si="9"/>
        <v>5.9330100619919009E-2</v>
      </c>
      <c r="Q39" s="2">
        <f t="shared" si="10"/>
        <v>35803.851999999955</v>
      </c>
    </row>
    <row r="40" spans="1:17">
      <c r="A40" t="s">
        <v>42</v>
      </c>
      <c r="C40" s="12">
        <v>50823.639700000174</v>
      </c>
      <c r="D40" s="12">
        <v>2.0000000000000001E-4</v>
      </c>
      <c r="E40">
        <f t="shared" si="6"/>
        <v>29483.71840664708</v>
      </c>
      <c r="F40">
        <f t="shared" si="1"/>
        <v>29483.5</v>
      </c>
      <c r="G40">
        <f t="shared" si="7"/>
        <v>0.11251000017364277</v>
      </c>
      <c r="J40">
        <f t="shared" si="8"/>
        <v>0.11251000017364277</v>
      </c>
      <c r="O40">
        <f t="shared" si="9"/>
        <v>5.9335177917448349E-2</v>
      </c>
      <c r="Q40" s="2">
        <f t="shared" si="10"/>
        <v>35805.139700000174</v>
      </c>
    </row>
    <row r="41" spans="1:17">
      <c r="A41" t="s">
        <v>43</v>
      </c>
      <c r="C41" s="12">
        <v>47871.417000000001</v>
      </c>
      <c r="D41" s="12"/>
      <c r="E41">
        <f t="shared" si="6"/>
        <v>23752.805062701409</v>
      </c>
      <c r="F41">
        <f t="shared" si="1"/>
        <v>23753</v>
      </c>
      <c r="G41">
        <f t="shared" si="7"/>
        <v>-0.10041999999521067</v>
      </c>
      <c r="J41">
        <f t="shared" si="8"/>
        <v>-0.10041999999521067</v>
      </c>
      <c r="O41">
        <f t="shared" si="9"/>
        <v>4.7696996520695145E-2</v>
      </c>
      <c r="Q41" s="2">
        <f t="shared" si="10"/>
        <v>32852.917000000001</v>
      </c>
    </row>
    <row r="42" spans="1:17">
      <c r="A42" t="s">
        <v>43</v>
      </c>
      <c r="C42" s="12">
        <v>50444.661699999997</v>
      </c>
      <c r="D42" s="12"/>
      <c r="E42">
        <f t="shared" si="6"/>
        <v>28748.038785572851</v>
      </c>
      <c r="F42">
        <f t="shared" si="1"/>
        <v>28748</v>
      </c>
      <c r="G42">
        <f t="shared" si="7"/>
        <v>1.9979999997303821E-2</v>
      </c>
      <c r="J42">
        <f t="shared" si="8"/>
        <v>1.9979999997303821E-2</v>
      </c>
      <c r="O42">
        <f t="shared" si="9"/>
        <v>5.7841436984316513E-2</v>
      </c>
      <c r="Q42" s="2">
        <f t="shared" si="10"/>
        <v>35426.161699999997</v>
      </c>
    </row>
    <row r="43" spans="1:17">
      <c r="A43" t="s">
        <v>43</v>
      </c>
      <c r="C43" s="12">
        <v>50445.692199999998</v>
      </c>
      <c r="D43" s="12"/>
      <c r="E43">
        <f t="shared" si="6"/>
        <v>28750.039212641223</v>
      </c>
      <c r="F43">
        <f t="shared" si="1"/>
        <v>28750</v>
      </c>
      <c r="G43">
        <f t="shared" si="7"/>
        <v>2.0199999999022111E-2</v>
      </c>
      <c r="J43">
        <f t="shared" si="8"/>
        <v>2.0199999999022111E-2</v>
      </c>
      <c r="O43">
        <f t="shared" si="9"/>
        <v>5.7845498822339983E-2</v>
      </c>
      <c r="Q43" s="2">
        <f t="shared" si="10"/>
        <v>35427.192199999998</v>
      </c>
    </row>
    <row r="44" spans="1:17">
      <c r="A44" t="s">
        <v>43</v>
      </c>
      <c r="C44" s="12">
        <v>50525.559300000001</v>
      </c>
      <c r="D44" s="12"/>
      <c r="E44">
        <f t="shared" si="6"/>
        <v>28905.078813526423</v>
      </c>
      <c r="F44">
        <f t="shared" si="1"/>
        <v>28905</v>
      </c>
      <c r="G44">
        <f t="shared" si="7"/>
        <v>4.0600000000267755E-2</v>
      </c>
      <c r="J44">
        <f t="shared" si="8"/>
        <v>4.0600000000267755E-2</v>
      </c>
      <c r="O44">
        <f t="shared" si="9"/>
        <v>5.8160291269159066E-2</v>
      </c>
      <c r="Q44" s="2">
        <f t="shared" si="10"/>
        <v>35507.059300000001</v>
      </c>
    </row>
    <row r="45" spans="1:17">
      <c r="D45" s="6"/>
    </row>
    <row r="46" spans="1:17">
      <c r="D46" s="6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71"/>
  <sheetViews>
    <sheetView topLeftCell="A25" workbookViewId="0">
      <selection activeCell="A44" sqref="A44:D73"/>
    </sheetView>
  </sheetViews>
  <sheetFormatPr defaultRowHeight="12.75"/>
  <cols>
    <col min="1" max="1" width="19.7109375" style="50" customWidth="1"/>
    <col min="2" max="2" width="4.42578125" style="20" customWidth="1"/>
    <col min="3" max="3" width="12.7109375" style="50" customWidth="1"/>
    <col min="4" max="4" width="5.42578125" style="20" customWidth="1"/>
    <col min="5" max="5" width="14.85546875" style="20" customWidth="1"/>
    <col min="6" max="6" width="9.140625" style="20"/>
    <col min="7" max="7" width="12" style="20" customWidth="1"/>
    <col min="8" max="8" width="14.140625" style="50" customWidth="1"/>
    <col min="9" max="9" width="22.5703125" style="20" customWidth="1"/>
    <col min="10" max="10" width="25.140625" style="20" customWidth="1"/>
    <col min="11" max="11" width="15.7109375" style="20" customWidth="1"/>
    <col min="12" max="12" width="14.140625" style="20" customWidth="1"/>
    <col min="13" max="13" width="9.5703125" style="20" customWidth="1"/>
    <col min="14" max="14" width="14.140625" style="20" customWidth="1"/>
    <col min="15" max="15" width="23.42578125" style="20" customWidth="1"/>
    <col min="16" max="16" width="16.5703125" style="20" customWidth="1"/>
    <col min="17" max="17" width="41" style="20" customWidth="1"/>
    <col min="18" max="16384" width="9.140625" style="20"/>
  </cols>
  <sheetData>
    <row r="1" spans="1:16" ht="15.75">
      <c r="A1" s="49" t="s">
        <v>72</v>
      </c>
      <c r="I1" s="51" t="s">
        <v>73</v>
      </c>
      <c r="J1" s="52" t="s">
        <v>74</v>
      </c>
    </row>
    <row r="2" spans="1:16">
      <c r="I2" s="53" t="s">
        <v>75</v>
      </c>
      <c r="J2" s="54" t="s">
        <v>76</v>
      </c>
    </row>
    <row r="3" spans="1:16">
      <c r="A3" s="55" t="s">
        <v>77</v>
      </c>
      <c r="I3" s="53" t="s">
        <v>78</v>
      </c>
      <c r="J3" s="54" t="s">
        <v>79</v>
      </c>
    </row>
    <row r="4" spans="1:16">
      <c r="I4" s="53" t="s">
        <v>80</v>
      </c>
      <c r="J4" s="54" t="s">
        <v>79</v>
      </c>
    </row>
    <row r="5" spans="1:16" ht="13.5" thickBot="1">
      <c r="I5" s="56" t="s">
        <v>81</v>
      </c>
      <c r="J5" s="57" t="s">
        <v>62</v>
      </c>
    </row>
    <row r="10" spans="1:16" ht="13.5" thickBot="1"/>
    <row r="11" spans="1:16" ht="12.75" customHeight="1" thickBot="1">
      <c r="A11" s="50" t="str">
        <f t="shared" ref="A11:A42" si="0">P11</f>
        <v> AC 173.15 </v>
      </c>
      <c r="B11" s="6" t="str">
        <f t="shared" ref="B11:B42" si="1">IF(H11=INT(H11),"I","II")</f>
        <v>I</v>
      </c>
      <c r="C11" s="50">
        <f t="shared" ref="C11:C42" si="2">1*G11</f>
        <v>35635.396999999997</v>
      </c>
      <c r="D11" s="20" t="str">
        <f t="shared" ref="D11:D42" si="3">VLOOKUP(F11,I$1:J$5,2,FALSE)</f>
        <v>vis</v>
      </c>
      <c r="E11" s="58">
        <f>VLOOKUP(C11,Active!C$21:E$964,3,FALSE)</f>
        <v>0</v>
      </c>
      <c r="F11" s="6" t="s">
        <v>81</v>
      </c>
      <c r="G11" s="20" t="str">
        <f t="shared" ref="G11:G42" si="4">MID(I11,3,LEN(I11)-3)</f>
        <v>35635.397</v>
      </c>
      <c r="H11" s="50">
        <f t="shared" ref="H11:H42" si="5">1*K11</f>
        <v>0</v>
      </c>
      <c r="I11" s="59" t="s">
        <v>82</v>
      </c>
      <c r="J11" s="60" t="s">
        <v>83</v>
      </c>
      <c r="K11" s="59">
        <v>0</v>
      </c>
      <c r="L11" s="59" t="s">
        <v>84</v>
      </c>
      <c r="M11" s="60" t="s">
        <v>85</v>
      </c>
      <c r="N11" s="60"/>
      <c r="O11" s="61" t="s">
        <v>86</v>
      </c>
      <c r="P11" s="61" t="s">
        <v>87</v>
      </c>
    </row>
    <row r="12" spans="1:16" ht="12.75" customHeight="1" thickBot="1">
      <c r="A12" s="50" t="str">
        <f t="shared" si="0"/>
        <v>IBVS 4605 </v>
      </c>
      <c r="B12" s="6" t="str">
        <f t="shared" si="1"/>
        <v>II</v>
      </c>
      <c r="C12" s="50">
        <f t="shared" si="2"/>
        <v>47871.417000000001</v>
      </c>
      <c r="D12" s="20" t="str">
        <f t="shared" si="3"/>
        <v>vis</v>
      </c>
      <c r="E12" s="58">
        <f>VLOOKUP(C12,Active!C$21:E$964,3,FALSE)</f>
        <v>23746.963053484946</v>
      </c>
      <c r="F12" s="6" t="s">
        <v>81</v>
      </c>
      <c r="G12" s="20" t="str">
        <f t="shared" si="4"/>
        <v>47871.417</v>
      </c>
      <c r="H12" s="50">
        <f t="shared" si="5"/>
        <v>23753.5</v>
      </c>
      <c r="I12" s="59" t="s">
        <v>136</v>
      </c>
      <c r="J12" s="60" t="s">
        <v>137</v>
      </c>
      <c r="K12" s="59">
        <v>23753.5</v>
      </c>
      <c r="L12" s="59" t="s">
        <v>138</v>
      </c>
      <c r="M12" s="60" t="s">
        <v>85</v>
      </c>
      <c r="N12" s="60"/>
      <c r="O12" s="61" t="s">
        <v>139</v>
      </c>
      <c r="P12" s="62" t="s">
        <v>140</v>
      </c>
    </row>
    <row r="13" spans="1:16" ht="12.75" customHeight="1" thickBot="1">
      <c r="A13" s="50" t="str">
        <f t="shared" si="0"/>
        <v>IBVS 4605 </v>
      </c>
      <c r="B13" s="6" t="str">
        <f t="shared" si="1"/>
        <v>I</v>
      </c>
      <c r="C13" s="50">
        <f t="shared" si="2"/>
        <v>50444.661699999997</v>
      </c>
      <c r="D13" s="20" t="str">
        <f t="shared" si="3"/>
        <v>vis</v>
      </c>
      <c r="E13" s="58">
        <f>VLOOKUP(C13,Active!C$21:E$964,3,FALSE)</f>
        <v>28740.968197189832</v>
      </c>
      <c r="F13" s="6" t="s">
        <v>81</v>
      </c>
      <c r="G13" s="20" t="str">
        <f t="shared" si="4"/>
        <v>50444.6617</v>
      </c>
      <c r="H13" s="50">
        <f t="shared" si="5"/>
        <v>28749</v>
      </c>
      <c r="I13" s="59" t="s">
        <v>141</v>
      </c>
      <c r="J13" s="60" t="s">
        <v>142</v>
      </c>
      <c r="K13" s="59">
        <v>28749</v>
      </c>
      <c r="L13" s="59" t="s">
        <v>143</v>
      </c>
      <c r="M13" s="60" t="s">
        <v>144</v>
      </c>
      <c r="N13" s="60" t="s">
        <v>145</v>
      </c>
      <c r="O13" s="61" t="s">
        <v>139</v>
      </c>
      <c r="P13" s="62" t="s">
        <v>140</v>
      </c>
    </row>
    <row r="14" spans="1:16" ht="12.75" customHeight="1" thickBot="1">
      <c r="A14" s="50" t="str">
        <f t="shared" si="0"/>
        <v>IBVS 4605 </v>
      </c>
      <c r="B14" s="6" t="str">
        <f t="shared" si="1"/>
        <v>I</v>
      </c>
      <c r="C14" s="50">
        <f t="shared" si="2"/>
        <v>50445.692199999998</v>
      </c>
      <c r="D14" s="20" t="str">
        <f t="shared" si="3"/>
        <v>vis</v>
      </c>
      <c r="E14" s="58">
        <f>VLOOKUP(C14,Active!C$21:E$964,3,FALSE)</f>
        <v>28742.96813225259</v>
      </c>
      <c r="F14" s="6" t="s">
        <v>81</v>
      </c>
      <c r="G14" s="20" t="str">
        <f t="shared" si="4"/>
        <v>50445.6922</v>
      </c>
      <c r="H14" s="50">
        <f t="shared" si="5"/>
        <v>28751</v>
      </c>
      <c r="I14" s="59" t="s">
        <v>146</v>
      </c>
      <c r="J14" s="60" t="s">
        <v>147</v>
      </c>
      <c r="K14" s="59">
        <v>28751</v>
      </c>
      <c r="L14" s="59" t="s">
        <v>148</v>
      </c>
      <c r="M14" s="60" t="s">
        <v>144</v>
      </c>
      <c r="N14" s="60" t="s">
        <v>149</v>
      </c>
      <c r="O14" s="61" t="s">
        <v>139</v>
      </c>
      <c r="P14" s="62" t="s">
        <v>140</v>
      </c>
    </row>
    <row r="15" spans="1:16" ht="12.75" customHeight="1" thickBot="1">
      <c r="A15" s="50" t="str">
        <f t="shared" si="0"/>
        <v>IBVS 4605 </v>
      </c>
      <c r="B15" s="6" t="str">
        <f t="shared" si="1"/>
        <v>I</v>
      </c>
      <c r="C15" s="50">
        <f t="shared" si="2"/>
        <v>50525.559300000001</v>
      </c>
      <c r="D15" s="20" t="str">
        <f t="shared" si="3"/>
        <v>vis</v>
      </c>
      <c r="E15" s="58">
        <f>VLOOKUP(C15,Active!C$21:E$964,3,FALSE)</f>
        <v>28897.969601103498</v>
      </c>
      <c r="F15" s="6" t="s">
        <v>81</v>
      </c>
      <c r="G15" s="20" t="str">
        <f t="shared" si="4"/>
        <v>50525.5593</v>
      </c>
      <c r="H15" s="50">
        <f t="shared" si="5"/>
        <v>28906</v>
      </c>
      <c r="I15" s="59" t="s">
        <v>150</v>
      </c>
      <c r="J15" s="60" t="s">
        <v>151</v>
      </c>
      <c r="K15" s="59">
        <v>28906</v>
      </c>
      <c r="L15" s="59" t="s">
        <v>152</v>
      </c>
      <c r="M15" s="60" t="s">
        <v>144</v>
      </c>
      <c r="N15" s="60" t="s">
        <v>145</v>
      </c>
      <c r="O15" s="61" t="s">
        <v>139</v>
      </c>
      <c r="P15" s="62" t="s">
        <v>140</v>
      </c>
    </row>
    <row r="16" spans="1:16" ht="12.75" customHeight="1" thickBot="1">
      <c r="A16" s="50" t="str">
        <f t="shared" si="0"/>
        <v> BBS 118 </v>
      </c>
      <c r="B16" s="6" t="str">
        <f t="shared" si="1"/>
        <v>I</v>
      </c>
      <c r="C16" s="50">
        <f t="shared" si="2"/>
        <v>50941.380700000002</v>
      </c>
      <c r="D16" s="20" t="str">
        <f t="shared" si="3"/>
        <v>vis</v>
      </c>
      <c r="E16" s="58">
        <f>VLOOKUP(C16,Active!C$21:E$964,3,FALSE)</f>
        <v>29704.971830803057</v>
      </c>
      <c r="F16" s="6" t="s">
        <v>81</v>
      </c>
      <c r="G16" s="20" t="str">
        <f t="shared" si="4"/>
        <v>50941.3807</v>
      </c>
      <c r="H16" s="50">
        <f t="shared" si="5"/>
        <v>29713</v>
      </c>
      <c r="I16" s="59" t="s">
        <v>179</v>
      </c>
      <c r="J16" s="60" t="s">
        <v>180</v>
      </c>
      <c r="K16" s="59">
        <v>29713</v>
      </c>
      <c r="L16" s="59" t="s">
        <v>181</v>
      </c>
      <c r="M16" s="60" t="s">
        <v>144</v>
      </c>
      <c r="N16" s="60" t="s">
        <v>156</v>
      </c>
      <c r="O16" s="61" t="s">
        <v>162</v>
      </c>
      <c r="P16" s="61" t="s">
        <v>182</v>
      </c>
    </row>
    <row r="17" spans="1:16" ht="12.75" customHeight="1" thickBot="1">
      <c r="A17" s="50" t="str">
        <f t="shared" si="0"/>
        <v>BAVM 128 </v>
      </c>
      <c r="B17" s="6" t="str">
        <f t="shared" si="1"/>
        <v>II</v>
      </c>
      <c r="C17" s="50">
        <f t="shared" si="2"/>
        <v>51287.380599999997</v>
      </c>
      <c r="D17" s="20" t="str">
        <f t="shared" si="3"/>
        <v>vis</v>
      </c>
      <c r="E17" s="58">
        <f>VLOOKUP(C17,Active!C$21:E$964,3,FALSE)</f>
        <v>30376.468513695807</v>
      </c>
      <c r="F17" s="6" t="s">
        <v>81</v>
      </c>
      <c r="G17" s="20" t="str">
        <f t="shared" si="4"/>
        <v>51287.3806</v>
      </c>
      <c r="H17" s="50">
        <f t="shared" si="5"/>
        <v>30384.5</v>
      </c>
      <c r="I17" s="59" t="s">
        <v>183</v>
      </c>
      <c r="J17" s="60" t="s">
        <v>184</v>
      </c>
      <c r="K17" s="59">
        <v>30384.5</v>
      </c>
      <c r="L17" s="59" t="s">
        <v>185</v>
      </c>
      <c r="M17" s="60" t="s">
        <v>144</v>
      </c>
      <c r="N17" s="60" t="s">
        <v>186</v>
      </c>
      <c r="O17" s="61" t="s">
        <v>187</v>
      </c>
      <c r="P17" s="62" t="s">
        <v>188</v>
      </c>
    </row>
    <row r="18" spans="1:16" ht="12.75" customHeight="1" thickBot="1">
      <c r="A18" s="50" t="str">
        <f t="shared" si="0"/>
        <v>BAVM 152 </v>
      </c>
      <c r="B18" s="6" t="str">
        <f t="shared" si="1"/>
        <v>I</v>
      </c>
      <c r="C18" s="50">
        <f t="shared" si="2"/>
        <v>51833.304100000001</v>
      </c>
      <c r="D18" s="20" t="str">
        <f t="shared" si="3"/>
        <v>vis</v>
      </c>
      <c r="E18" s="58">
        <f>VLOOKUP(C18,Active!C$21:E$964,3,FALSE)</f>
        <v>31435.965407663723</v>
      </c>
      <c r="F18" s="6" t="s">
        <v>81</v>
      </c>
      <c r="G18" s="20" t="str">
        <f t="shared" si="4"/>
        <v>51833.3041</v>
      </c>
      <c r="H18" s="50">
        <f t="shared" si="5"/>
        <v>31444</v>
      </c>
      <c r="I18" s="59" t="s">
        <v>193</v>
      </c>
      <c r="J18" s="60" t="s">
        <v>194</v>
      </c>
      <c r="K18" s="59">
        <v>31444</v>
      </c>
      <c r="L18" s="59" t="s">
        <v>195</v>
      </c>
      <c r="M18" s="60" t="s">
        <v>144</v>
      </c>
      <c r="N18" s="60" t="s">
        <v>186</v>
      </c>
      <c r="O18" s="61" t="s">
        <v>187</v>
      </c>
      <c r="P18" s="62" t="s">
        <v>196</v>
      </c>
    </row>
    <row r="19" spans="1:16" ht="12.75" customHeight="1" thickBot="1">
      <c r="A19" s="50" t="str">
        <f t="shared" si="0"/>
        <v>OEJV 0074 </v>
      </c>
      <c r="B19" s="6" t="str">
        <f t="shared" si="1"/>
        <v>I</v>
      </c>
      <c r="C19" s="50">
        <f t="shared" si="2"/>
        <v>52027.557639999999</v>
      </c>
      <c r="D19" s="20" t="str">
        <f t="shared" si="3"/>
        <v>vis</v>
      </c>
      <c r="E19" s="58">
        <f>VLOOKUP(C19,Active!C$21:E$964,3,FALSE)</f>
        <v>31812.961492778704</v>
      </c>
      <c r="F19" s="6" t="s">
        <v>81</v>
      </c>
      <c r="G19" s="20" t="str">
        <f t="shared" si="4"/>
        <v>52027.55764</v>
      </c>
      <c r="H19" s="50">
        <f t="shared" si="5"/>
        <v>31821</v>
      </c>
      <c r="I19" s="59" t="s">
        <v>201</v>
      </c>
      <c r="J19" s="60" t="s">
        <v>202</v>
      </c>
      <c r="K19" s="59">
        <v>31821</v>
      </c>
      <c r="L19" s="59" t="s">
        <v>203</v>
      </c>
      <c r="M19" s="60" t="s">
        <v>204</v>
      </c>
      <c r="N19" s="60" t="s">
        <v>186</v>
      </c>
      <c r="O19" s="61" t="s">
        <v>205</v>
      </c>
      <c r="P19" s="62" t="s">
        <v>206</v>
      </c>
    </row>
    <row r="20" spans="1:16" ht="12.75" customHeight="1" thickBot="1">
      <c r="A20" s="50" t="str">
        <f t="shared" si="0"/>
        <v>BAVM 152 </v>
      </c>
      <c r="B20" s="6" t="str">
        <f t="shared" si="1"/>
        <v>I</v>
      </c>
      <c r="C20" s="50">
        <f t="shared" si="2"/>
        <v>52039.409200000002</v>
      </c>
      <c r="D20" s="20" t="str">
        <f t="shared" si="3"/>
        <v>vis</v>
      </c>
      <c r="E20" s="58">
        <f>VLOOKUP(C20,Active!C$21:E$964,3,FALSE)</f>
        <v>31835.962318001795</v>
      </c>
      <c r="F20" s="6" t="s">
        <v>81</v>
      </c>
      <c r="G20" s="20" t="str">
        <f t="shared" si="4"/>
        <v>52039.4092</v>
      </c>
      <c r="H20" s="50">
        <f t="shared" si="5"/>
        <v>31844</v>
      </c>
      <c r="I20" s="59" t="s">
        <v>207</v>
      </c>
      <c r="J20" s="60" t="s">
        <v>208</v>
      </c>
      <c r="K20" s="59">
        <v>31844</v>
      </c>
      <c r="L20" s="59" t="s">
        <v>209</v>
      </c>
      <c r="M20" s="60" t="s">
        <v>144</v>
      </c>
      <c r="N20" s="60" t="s">
        <v>186</v>
      </c>
      <c r="O20" s="61" t="s">
        <v>187</v>
      </c>
      <c r="P20" s="62" t="s">
        <v>196</v>
      </c>
    </row>
    <row r="21" spans="1:16" ht="12.75" customHeight="1" thickBot="1">
      <c r="A21" s="50" t="str">
        <f t="shared" si="0"/>
        <v>BAVM 158 </v>
      </c>
      <c r="B21" s="6" t="str">
        <f t="shared" si="1"/>
        <v>I</v>
      </c>
      <c r="C21" s="50">
        <f t="shared" si="2"/>
        <v>52375.363100000002</v>
      </c>
      <c r="D21" s="20" t="str">
        <f t="shared" si="3"/>
        <v>vis</v>
      </c>
      <c r="E21" s="58">
        <f>VLOOKUP(C21,Active!C$21:E$964,3,FALSE)</f>
        <v>32487.962302553486</v>
      </c>
      <c r="F21" s="6" t="s">
        <v>81</v>
      </c>
      <c r="G21" s="20" t="str">
        <f t="shared" si="4"/>
        <v>52375.3631</v>
      </c>
      <c r="H21" s="50">
        <f t="shared" si="5"/>
        <v>32496</v>
      </c>
      <c r="I21" s="59" t="s">
        <v>214</v>
      </c>
      <c r="J21" s="60" t="s">
        <v>215</v>
      </c>
      <c r="K21" s="59">
        <v>32496</v>
      </c>
      <c r="L21" s="59" t="s">
        <v>216</v>
      </c>
      <c r="M21" s="60" t="s">
        <v>144</v>
      </c>
      <c r="N21" s="60" t="s">
        <v>186</v>
      </c>
      <c r="O21" s="61" t="s">
        <v>217</v>
      </c>
      <c r="P21" s="62" t="s">
        <v>218</v>
      </c>
    </row>
    <row r="22" spans="1:16" ht="12.75" customHeight="1" thickBot="1">
      <c r="A22" s="50" t="str">
        <f t="shared" si="0"/>
        <v>BAVM 158 </v>
      </c>
      <c r="B22" s="6" t="str">
        <f t="shared" si="1"/>
        <v>II</v>
      </c>
      <c r="C22" s="50">
        <f t="shared" si="2"/>
        <v>52375.620600000002</v>
      </c>
      <c r="D22" s="20" t="str">
        <f t="shared" si="3"/>
        <v>vis</v>
      </c>
      <c r="E22" s="58">
        <f>VLOOKUP(C22,Active!C$21:E$964,3,FALSE)</f>
        <v>32488.462043726373</v>
      </c>
      <c r="F22" s="6" t="s">
        <v>81</v>
      </c>
      <c r="G22" s="20" t="str">
        <f t="shared" si="4"/>
        <v>52375.6206</v>
      </c>
      <c r="H22" s="50">
        <f t="shared" si="5"/>
        <v>32496.5</v>
      </c>
      <c r="I22" s="59" t="s">
        <v>219</v>
      </c>
      <c r="J22" s="60" t="s">
        <v>220</v>
      </c>
      <c r="K22" s="59">
        <v>32496.5</v>
      </c>
      <c r="L22" s="59" t="s">
        <v>221</v>
      </c>
      <c r="M22" s="60" t="s">
        <v>144</v>
      </c>
      <c r="N22" s="60" t="s">
        <v>186</v>
      </c>
      <c r="O22" s="61" t="s">
        <v>217</v>
      </c>
      <c r="P22" s="62" t="s">
        <v>218</v>
      </c>
    </row>
    <row r="23" spans="1:16" ht="12.75" customHeight="1" thickBot="1">
      <c r="A23" s="50" t="str">
        <f t="shared" si="0"/>
        <v> BBS 129 </v>
      </c>
      <c r="B23" s="6" t="str">
        <f t="shared" si="1"/>
        <v>I</v>
      </c>
      <c r="C23" s="50">
        <f t="shared" si="2"/>
        <v>52717.500800000002</v>
      </c>
      <c r="D23" s="20" t="str">
        <f t="shared" si="3"/>
        <v>vis</v>
      </c>
      <c r="E23" s="58">
        <f>VLOOKUP(C23,Active!C$21:E$964,3,FALSE)</f>
        <v>33151.963450075658</v>
      </c>
      <c r="F23" s="6" t="s">
        <v>81</v>
      </c>
      <c r="G23" s="20" t="str">
        <f t="shared" si="4"/>
        <v>52717.5008</v>
      </c>
      <c r="H23" s="50">
        <f t="shared" si="5"/>
        <v>33160</v>
      </c>
      <c r="I23" s="59" t="s">
        <v>226</v>
      </c>
      <c r="J23" s="60" t="s">
        <v>227</v>
      </c>
      <c r="K23" s="59">
        <v>33160</v>
      </c>
      <c r="L23" s="59" t="s">
        <v>228</v>
      </c>
      <c r="M23" s="60" t="s">
        <v>144</v>
      </c>
      <c r="N23" s="60" t="s">
        <v>156</v>
      </c>
      <c r="O23" s="61" t="s">
        <v>162</v>
      </c>
      <c r="P23" s="61" t="s">
        <v>229</v>
      </c>
    </row>
    <row r="24" spans="1:16" ht="12.75" customHeight="1" thickBot="1">
      <c r="A24" s="50" t="str">
        <f t="shared" si="0"/>
        <v> BBS 130 </v>
      </c>
      <c r="B24" s="6" t="str">
        <f t="shared" si="1"/>
        <v>I</v>
      </c>
      <c r="C24" s="50">
        <f t="shared" si="2"/>
        <v>53107.555999999997</v>
      </c>
      <c r="D24" s="20" t="str">
        <f t="shared" si="3"/>
        <v>vis</v>
      </c>
      <c r="E24" s="58">
        <f>VLOOKUP(C24,Active!C$21:E$964,3,FALSE)</f>
        <v>33908.960122459292</v>
      </c>
      <c r="F24" s="6" t="s">
        <v>81</v>
      </c>
      <c r="G24" s="20" t="str">
        <f t="shared" si="4"/>
        <v>53107.556</v>
      </c>
      <c r="H24" s="50">
        <f t="shared" si="5"/>
        <v>33917</v>
      </c>
      <c r="I24" s="59" t="s">
        <v>230</v>
      </c>
      <c r="J24" s="60" t="s">
        <v>231</v>
      </c>
      <c r="K24" s="59">
        <v>33917</v>
      </c>
      <c r="L24" s="59" t="s">
        <v>232</v>
      </c>
      <c r="M24" s="60" t="s">
        <v>85</v>
      </c>
      <c r="N24" s="60"/>
      <c r="O24" s="61" t="s">
        <v>233</v>
      </c>
      <c r="P24" s="61" t="s">
        <v>234</v>
      </c>
    </row>
    <row r="25" spans="1:16" ht="12.75" customHeight="1" thickBot="1">
      <c r="A25" s="50" t="str">
        <f t="shared" si="0"/>
        <v>OEJV 0003 </v>
      </c>
      <c r="B25" s="6" t="str">
        <f t="shared" si="1"/>
        <v>I</v>
      </c>
      <c r="C25" s="50">
        <f t="shared" si="2"/>
        <v>53186.389000000003</v>
      </c>
      <c r="D25" s="20" t="str">
        <f t="shared" si="3"/>
        <v>vis</v>
      </c>
      <c r="E25" s="58">
        <f>VLOOKUP(C25,Active!C$21:E$964,3,FALSE)</f>
        <v>34061.954669574734</v>
      </c>
      <c r="F25" s="6" t="s">
        <v>81</v>
      </c>
      <c r="G25" s="20" t="str">
        <f t="shared" si="4"/>
        <v>53186.389</v>
      </c>
      <c r="H25" s="50">
        <f t="shared" si="5"/>
        <v>34070</v>
      </c>
      <c r="I25" s="59" t="s">
        <v>235</v>
      </c>
      <c r="J25" s="60" t="s">
        <v>236</v>
      </c>
      <c r="K25" s="59">
        <v>34070</v>
      </c>
      <c r="L25" s="59" t="s">
        <v>237</v>
      </c>
      <c r="M25" s="60" t="s">
        <v>85</v>
      </c>
      <c r="N25" s="60"/>
      <c r="O25" s="61" t="s">
        <v>233</v>
      </c>
      <c r="P25" s="62" t="s">
        <v>238</v>
      </c>
    </row>
    <row r="26" spans="1:16" ht="12.75" customHeight="1" thickBot="1">
      <c r="A26" s="50" t="str">
        <f t="shared" si="0"/>
        <v>BAVM 178 </v>
      </c>
      <c r="B26" s="6" t="str">
        <f t="shared" si="1"/>
        <v>II</v>
      </c>
      <c r="C26" s="50">
        <f t="shared" si="2"/>
        <v>53813.47</v>
      </c>
      <c r="D26" s="20" t="str">
        <f t="shared" si="3"/>
        <v>vis</v>
      </c>
      <c r="E26" s="58">
        <f>VLOOKUP(C26,Active!C$21:E$964,3,FALSE)</f>
        <v>35278.957366410992</v>
      </c>
      <c r="F26" s="6" t="s">
        <v>81</v>
      </c>
      <c r="G26" s="20" t="str">
        <f t="shared" si="4"/>
        <v>53813.4700</v>
      </c>
      <c r="H26" s="50">
        <f t="shared" si="5"/>
        <v>35287.5</v>
      </c>
      <c r="I26" s="59" t="s">
        <v>239</v>
      </c>
      <c r="J26" s="60" t="s">
        <v>240</v>
      </c>
      <c r="K26" s="59">
        <v>35287.5</v>
      </c>
      <c r="L26" s="59" t="s">
        <v>241</v>
      </c>
      <c r="M26" s="60" t="s">
        <v>204</v>
      </c>
      <c r="N26" s="60" t="s">
        <v>186</v>
      </c>
      <c r="O26" s="61" t="s">
        <v>217</v>
      </c>
      <c r="P26" s="62" t="s">
        <v>242</v>
      </c>
    </row>
    <row r="27" spans="1:16" ht="12.75" customHeight="1" thickBot="1">
      <c r="A27" s="50" t="str">
        <f t="shared" si="0"/>
        <v>IBVS 5784 </v>
      </c>
      <c r="B27" s="6" t="str">
        <f t="shared" si="1"/>
        <v>II</v>
      </c>
      <c r="C27" s="50">
        <f t="shared" si="2"/>
        <v>53817.593000000001</v>
      </c>
      <c r="D27" s="20" t="str">
        <f t="shared" si="3"/>
        <v>vis</v>
      </c>
      <c r="E27" s="58">
        <f>VLOOKUP(C27,Active!C$21:E$964,3,FALSE)</f>
        <v>35286.959047404445</v>
      </c>
      <c r="F27" s="6" t="s">
        <v>81</v>
      </c>
      <c r="G27" s="20" t="str">
        <f t="shared" si="4"/>
        <v>53817.593</v>
      </c>
      <c r="H27" s="50">
        <f t="shared" si="5"/>
        <v>35295.5</v>
      </c>
      <c r="I27" s="59" t="s">
        <v>243</v>
      </c>
      <c r="J27" s="60" t="s">
        <v>244</v>
      </c>
      <c r="K27" s="59">
        <v>35295.5</v>
      </c>
      <c r="L27" s="59" t="s">
        <v>245</v>
      </c>
      <c r="M27" s="60" t="s">
        <v>204</v>
      </c>
      <c r="N27" s="60" t="s">
        <v>81</v>
      </c>
      <c r="O27" s="61" t="s">
        <v>246</v>
      </c>
      <c r="P27" s="62" t="s">
        <v>247</v>
      </c>
    </row>
    <row r="28" spans="1:16" ht="12.75" customHeight="1" thickBot="1">
      <c r="A28" s="50" t="str">
        <f t="shared" si="0"/>
        <v>IBVS 5784 </v>
      </c>
      <c r="B28" s="6" t="str">
        <f t="shared" si="1"/>
        <v>I</v>
      </c>
      <c r="C28" s="50">
        <f t="shared" si="2"/>
        <v>53817.850899999998</v>
      </c>
      <c r="D28" s="20" t="str">
        <f t="shared" si="3"/>
        <v>vis</v>
      </c>
      <c r="E28" s="58">
        <f>VLOOKUP(C28,Active!C$21:E$964,3,FALSE)</f>
        <v>35287.459564874291</v>
      </c>
      <c r="F28" s="6" t="s">
        <v>81</v>
      </c>
      <c r="G28" s="20" t="str">
        <f t="shared" si="4"/>
        <v>53817.8509</v>
      </c>
      <c r="H28" s="50">
        <f t="shared" si="5"/>
        <v>35296</v>
      </c>
      <c r="I28" s="59" t="s">
        <v>248</v>
      </c>
      <c r="J28" s="60" t="s">
        <v>249</v>
      </c>
      <c r="K28" s="59">
        <v>35296</v>
      </c>
      <c r="L28" s="59" t="s">
        <v>250</v>
      </c>
      <c r="M28" s="60" t="s">
        <v>204</v>
      </c>
      <c r="N28" s="60" t="s">
        <v>81</v>
      </c>
      <c r="O28" s="61" t="s">
        <v>246</v>
      </c>
      <c r="P28" s="62" t="s">
        <v>247</v>
      </c>
    </row>
    <row r="29" spans="1:16" ht="12.75" customHeight="1" thickBot="1">
      <c r="A29" s="50" t="str">
        <f t="shared" si="0"/>
        <v>IBVS 5784 </v>
      </c>
      <c r="B29" s="6" t="str">
        <f t="shared" si="1"/>
        <v>II</v>
      </c>
      <c r="C29" s="50">
        <f t="shared" si="2"/>
        <v>53999.485200000003</v>
      </c>
      <c r="D29" s="20" t="str">
        <f t="shared" si="3"/>
        <v>vis</v>
      </c>
      <c r="E29" s="58">
        <f>VLOOKUP(C29,Active!C$21:E$964,3,FALSE)</f>
        <v>35639.964955626005</v>
      </c>
      <c r="F29" s="6" t="s">
        <v>81</v>
      </c>
      <c r="G29" s="20" t="str">
        <f t="shared" si="4"/>
        <v>53999.4852</v>
      </c>
      <c r="H29" s="50">
        <f t="shared" si="5"/>
        <v>35648.5</v>
      </c>
      <c r="I29" s="59" t="s">
        <v>251</v>
      </c>
      <c r="J29" s="60" t="s">
        <v>252</v>
      </c>
      <c r="K29" s="59">
        <v>35648.5</v>
      </c>
      <c r="L29" s="59" t="s">
        <v>253</v>
      </c>
      <c r="M29" s="60" t="s">
        <v>204</v>
      </c>
      <c r="N29" s="60" t="s">
        <v>81</v>
      </c>
      <c r="O29" s="61" t="s">
        <v>246</v>
      </c>
      <c r="P29" s="62" t="s">
        <v>247</v>
      </c>
    </row>
    <row r="30" spans="1:16" ht="12.75" customHeight="1" thickBot="1">
      <c r="A30" s="50" t="str">
        <f t="shared" si="0"/>
        <v>IBVS 5784 </v>
      </c>
      <c r="B30" s="6" t="str">
        <f t="shared" si="1"/>
        <v>I</v>
      </c>
      <c r="C30" s="50">
        <f t="shared" si="2"/>
        <v>53999.748699999996</v>
      </c>
      <c r="D30" s="20" t="str">
        <f t="shared" si="3"/>
        <v>vis</v>
      </c>
      <c r="E30" s="58">
        <f>VLOOKUP(C30,Active!C$21:E$964,3,FALSE)</f>
        <v>35640.476341253394</v>
      </c>
      <c r="F30" s="6" t="s">
        <v>81</v>
      </c>
      <c r="G30" s="20" t="str">
        <f t="shared" si="4"/>
        <v>53999.7487</v>
      </c>
      <c r="H30" s="50">
        <f t="shared" si="5"/>
        <v>35649</v>
      </c>
      <c r="I30" s="59" t="s">
        <v>254</v>
      </c>
      <c r="J30" s="60" t="s">
        <v>255</v>
      </c>
      <c r="K30" s="59">
        <v>35649</v>
      </c>
      <c r="L30" s="59" t="s">
        <v>256</v>
      </c>
      <c r="M30" s="60" t="s">
        <v>204</v>
      </c>
      <c r="N30" s="60" t="s">
        <v>81</v>
      </c>
      <c r="O30" s="61" t="s">
        <v>246</v>
      </c>
      <c r="P30" s="62" t="s">
        <v>247</v>
      </c>
    </row>
    <row r="31" spans="1:16" ht="12.75" customHeight="1" thickBot="1">
      <c r="A31" s="50" t="str">
        <f t="shared" si="0"/>
        <v>IBVS 5784 </v>
      </c>
      <c r="B31" s="6" t="str">
        <f t="shared" si="1"/>
        <v>II</v>
      </c>
      <c r="C31" s="50">
        <f t="shared" si="2"/>
        <v>54150.966399999998</v>
      </c>
      <c r="D31" s="20" t="str">
        <f t="shared" si="3"/>
        <v>vis</v>
      </c>
      <c r="E31" s="58">
        <f>VLOOKUP(C31,Active!C$21:E$964,3,FALSE)</f>
        <v>35933.950946143952</v>
      </c>
      <c r="F31" s="6" t="s">
        <v>81</v>
      </c>
      <c r="G31" s="20" t="str">
        <f t="shared" si="4"/>
        <v>54150.9664</v>
      </c>
      <c r="H31" s="50">
        <f t="shared" si="5"/>
        <v>35942.5</v>
      </c>
      <c r="I31" s="59" t="s">
        <v>257</v>
      </c>
      <c r="J31" s="60" t="s">
        <v>258</v>
      </c>
      <c r="K31" s="59">
        <v>35942.5</v>
      </c>
      <c r="L31" s="59" t="s">
        <v>259</v>
      </c>
      <c r="M31" s="60" t="s">
        <v>204</v>
      </c>
      <c r="N31" s="60" t="s">
        <v>81</v>
      </c>
      <c r="O31" s="61" t="s">
        <v>246</v>
      </c>
      <c r="P31" s="62" t="s">
        <v>247</v>
      </c>
    </row>
    <row r="32" spans="1:16" ht="12.75" customHeight="1" thickBot="1">
      <c r="A32" s="50" t="str">
        <f t="shared" si="0"/>
        <v>IBVS 5784 </v>
      </c>
      <c r="B32" s="6" t="str">
        <f t="shared" si="1"/>
        <v>I</v>
      </c>
      <c r="C32" s="50">
        <f t="shared" si="2"/>
        <v>54151.213100000001</v>
      </c>
      <c r="D32" s="20" t="str">
        <f t="shared" si="3"/>
        <v>vis</v>
      </c>
      <c r="E32" s="58">
        <f>VLOOKUP(C32,Active!C$21:E$964,3,FALSE)</f>
        <v>35934.429727298717</v>
      </c>
      <c r="F32" s="6" t="s">
        <v>81</v>
      </c>
      <c r="G32" s="20" t="str">
        <f t="shared" si="4"/>
        <v>54151.2131</v>
      </c>
      <c r="H32" s="50">
        <f t="shared" si="5"/>
        <v>35943</v>
      </c>
      <c r="I32" s="59" t="s">
        <v>260</v>
      </c>
      <c r="J32" s="60" t="s">
        <v>261</v>
      </c>
      <c r="K32" s="59">
        <v>35943</v>
      </c>
      <c r="L32" s="59" t="s">
        <v>262</v>
      </c>
      <c r="M32" s="60" t="s">
        <v>204</v>
      </c>
      <c r="N32" s="60" t="s">
        <v>81</v>
      </c>
      <c r="O32" s="61" t="s">
        <v>246</v>
      </c>
      <c r="P32" s="62" t="s">
        <v>247</v>
      </c>
    </row>
    <row r="33" spans="1:16" ht="12.75" customHeight="1" thickBot="1">
      <c r="A33" s="50" t="str">
        <f t="shared" si="0"/>
        <v>BAVM 209 </v>
      </c>
      <c r="B33" s="6" t="str">
        <f t="shared" si="1"/>
        <v>I</v>
      </c>
      <c r="C33" s="50">
        <f t="shared" si="2"/>
        <v>54943.449099999998</v>
      </c>
      <c r="D33" s="20" t="str">
        <f t="shared" si="3"/>
        <v>vis</v>
      </c>
      <c r="E33" s="58">
        <f>VLOOKUP(C33,Active!C$21:E$964,3,FALSE)</f>
        <v>37471.955738341581</v>
      </c>
      <c r="F33" s="6" t="s">
        <v>81</v>
      </c>
      <c r="G33" s="20" t="str">
        <f t="shared" si="4"/>
        <v>54943.4491</v>
      </c>
      <c r="H33" s="50">
        <f t="shared" si="5"/>
        <v>37481</v>
      </c>
      <c r="I33" s="59" t="s">
        <v>268</v>
      </c>
      <c r="J33" s="60" t="s">
        <v>269</v>
      </c>
      <c r="K33" s="59">
        <v>37481</v>
      </c>
      <c r="L33" s="59" t="s">
        <v>270</v>
      </c>
      <c r="M33" s="60" t="s">
        <v>204</v>
      </c>
      <c r="N33" s="60" t="s">
        <v>271</v>
      </c>
      <c r="O33" s="61" t="s">
        <v>272</v>
      </c>
      <c r="P33" s="62" t="s">
        <v>273</v>
      </c>
    </row>
    <row r="34" spans="1:16" ht="12.75" customHeight="1" thickBot="1">
      <c r="A34" s="50" t="str">
        <f t="shared" si="0"/>
        <v>OEJV 0160 </v>
      </c>
      <c r="B34" s="6" t="str">
        <f t="shared" si="1"/>
        <v>II</v>
      </c>
      <c r="C34" s="50">
        <f t="shared" si="2"/>
        <v>55671.515019999999</v>
      </c>
      <c r="D34" s="20" t="str">
        <f t="shared" si="3"/>
        <v>vis</v>
      </c>
      <c r="E34" s="58">
        <f>VLOOKUP(C34,Active!C$21:E$964,3,FALSE)</f>
        <v>38884.944153099117</v>
      </c>
      <c r="F34" s="6" t="s">
        <v>81</v>
      </c>
      <c r="G34" s="20" t="str">
        <f t="shared" si="4"/>
        <v>55671.51502</v>
      </c>
      <c r="H34" s="50">
        <f t="shared" si="5"/>
        <v>38894.5</v>
      </c>
      <c r="I34" s="59" t="s">
        <v>284</v>
      </c>
      <c r="J34" s="60" t="s">
        <v>285</v>
      </c>
      <c r="K34" s="59" t="s">
        <v>286</v>
      </c>
      <c r="L34" s="59" t="s">
        <v>287</v>
      </c>
      <c r="M34" s="60" t="s">
        <v>204</v>
      </c>
      <c r="N34" s="60" t="s">
        <v>81</v>
      </c>
      <c r="O34" s="61" t="s">
        <v>266</v>
      </c>
      <c r="P34" s="62" t="s">
        <v>288</v>
      </c>
    </row>
    <row r="35" spans="1:16" ht="12.75" customHeight="1" thickBot="1">
      <c r="A35" s="50" t="str">
        <f t="shared" si="0"/>
        <v>OEJV 0160 </v>
      </c>
      <c r="B35" s="6" t="str">
        <f t="shared" si="1"/>
        <v>II</v>
      </c>
      <c r="C35" s="50">
        <f t="shared" si="2"/>
        <v>55671.515169999999</v>
      </c>
      <c r="D35" s="20" t="str">
        <f t="shared" si="3"/>
        <v>vis</v>
      </c>
      <c r="E35" s="58">
        <f>VLOOKUP(C35,Active!C$21:E$964,3,FALSE)</f>
        <v>38884.94444421048</v>
      </c>
      <c r="F35" s="6" t="s">
        <v>81</v>
      </c>
      <c r="G35" s="20" t="str">
        <f t="shared" si="4"/>
        <v>55671.51517</v>
      </c>
      <c r="H35" s="50">
        <f t="shared" si="5"/>
        <v>38894.5</v>
      </c>
      <c r="I35" s="59" t="s">
        <v>289</v>
      </c>
      <c r="J35" s="60" t="s">
        <v>285</v>
      </c>
      <c r="K35" s="59" t="s">
        <v>286</v>
      </c>
      <c r="L35" s="59" t="s">
        <v>290</v>
      </c>
      <c r="M35" s="60" t="s">
        <v>204</v>
      </c>
      <c r="N35" s="60" t="s">
        <v>47</v>
      </c>
      <c r="O35" s="61" t="s">
        <v>266</v>
      </c>
      <c r="P35" s="62" t="s">
        <v>288</v>
      </c>
    </row>
    <row r="36" spans="1:16" ht="12.75" customHeight="1" thickBot="1">
      <c r="A36" s="50" t="str">
        <f t="shared" si="0"/>
        <v>OEJV 0160 </v>
      </c>
      <c r="B36" s="6" t="str">
        <f t="shared" si="1"/>
        <v>II</v>
      </c>
      <c r="C36" s="50">
        <f t="shared" si="2"/>
        <v>55671.515200000002</v>
      </c>
      <c r="D36" s="20" t="str">
        <f t="shared" si="3"/>
        <v>vis</v>
      </c>
      <c r="E36" s="58">
        <f>VLOOKUP(C36,Active!C$21:E$964,3,FALSE)</f>
        <v>38884.944502432758</v>
      </c>
      <c r="F36" s="6" t="s">
        <v>81</v>
      </c>
      <c r="G36" s="20" t="str">
        <f t="shared" si="4"/>
        <v>55671.5152</v>
      </c>
      <c r="H36" s="50">
        <f t="shared" si="5"/>
        <v>38894.5</v>
      </c>
      <c r="I36" s="59" t="s">
        <v>291</v>
      </c>
      <c r="J36" s="60" t="s">
        <v>285</v>
      </c>
      <c r="K36" s="59" t="s">
        <v>286</v>
      </c>
      <c r="L36" s="59" t="s">
        <v>292</v>
      </c>
      <c r="M36" s="60" t="s">
        <v>204</v>
      </c>
      <c r="N36" s="60" t="s">
        <v>145</v>
      </c>
      <c r="O36" s="61" t="s">
        <v>266</v>
      </c>
      <c r="P36" s="62" t="s">
        <v>288</v>
      </c>
    </row>
    <row r="37" spans="1:16" ht="12.75" customHeight="1" thickBot="1">
      <c r="A37" s="50" t="str">
        <f t="shared" si="0"/>
        <v>OEJV 0160 </v>
      </c>
      <c r="B37" s="6" t="str">
        <f t="shared" si="1"/>
        <v>II</v>
      </c>
      <c r="C37" s="50">
        <f t="shared" si="2"/>
        <v>56008.49667</v>
      </c>
      <c r="D37" s="20" t="str">
        <f t="shared" si="3"/>
        <v>vis</v>
      </c>
      <c r="E37" s="58">
        <f>VLOOKUP(C37,Active!C$21:E$964,3,FALSE)</f>
        <v>39538.938735671916</v>
      </c>
      <c r="F37" s="6" t="s">
        <v>81</v>
      </c>
      <c r="G37" s="20" t="str">
        <f t="shared" si="4"/>
        <v>56008.49667</v>
      </c>
      <c r="H37" s="50">
        <f t="shared" si="5"/>
        <v>39548.5</v>
      </c>
      <c r="I37" s="59" t="s">
        <v>299</v>
      </c>
      <c r="J37" s="60" t="s">
        <v>300</v>
      </c>
      <c r="K37" s="59" t="s">
        <v>301</v>
      </c>
      <c r="L37" s="59" t="s">
        <v>302</v>
      </c>
      <c r="M37" s="60" t="s">
        <v>204</v>
      </c>
      <c r="N37" s="60" t="s">
        <v>47</v>
      </c>
      <c r="O37" s="61" t="s">
        <v>266</v>
      </c>
      <c r="P37" s="62" t="s">
        <v>288</v>
      </c>
    </row>
    <row r="38" spans="1:16" ht="12.75" customHeight="1" thickBot="1">
      <c r="A38" s="50" t="str">
        <f t="shared" si="0"/>
        <v>OEJV 0160 </v>
      </c>
      <c r="B38" s="6" t="str">
        <f t="shared" si="1"/>
        <v>II</v>
      </c>
      <c r="C38" s="50">
        <f t="shared" si="2"/>
        <v>56008.497170000002</v>
      </c>
      <c r="D38" s="20" t="str">
        <f t="shared" si="3"/>
        <v>vis</v>
      </c>
      <c r="E38" s="58">
        <f>VLOOKUP(C38,Active!C$21:E$964,3,FALSE)</f>
        <v>39538.939706043129</v>
      </c>
      <c r="F38" s="6" t="s">
        <v>81</v>
      </c>
      <c r="G38" s="20" t="str">
        <f t="shared" si="4"/>
        <v>56008.49717</v>
      </c>
      <c r="H38" s="50">
        <f t="shared" si="5"/>
        <v>39548.5</v>
      </c>
      <c r="I38" s="59" t="s">
        <v>303</v>
      </c>
      <c r="J38" s="60" t="s">
        <v>300</v>
      </c>
      <c r="K38" s="59" t="s">
        <v>301</v>
      </c>
      <c r="L38" s="59" t="s">
        <v>304</v>
      </c>
      <c r="M38" s="60" t="s">
        <v>204</v>
      </c>
      <c r="N38" s="60" t="s">
        <v>81</v>
      </c>
      <c r="O38" s="61" t="s">
        <v>266</v>
      </c>
      <c r="P38" s="62" t="s">
        <v>288</v>
      </c>
    </row>
    <row r="39" spans="1:16" ht="12.75" customHeight="1" thickBot="1">
      <c r="A39" s="50" t="str">
        <f t="shared" si="0"/>
        <v>OEJV 0160 </v>
      </c>
      <c r="B39" s="6" t="str">
        <f t="shared" si="1"/>
        <v>II</v>
      </c>
      <c r="C39" s="50">
        <f t="shared" si="2"/>
        <v>56008.498119999997</v>
      </c>
      <c r="D39" s="20" t="str">
        <f t="shared" si="3"/>
        <v>vis</v>
      </c>
      <c r="E39" s="58">
        <f>VLOOKUP(C39,Active!C$21:E$964,3,FALSE)</f>
        <v>39538.941549748415</v>
      </c>
      <c r="F39" s="6" t="s">
        <v>81</v>
      </c>
      <c r="G39" s="20" t="str">
        <f t="shared" si="4"/>
        <v>56008.49812</v>
      </c>
      <c r="H39" s="50">
        <f t="shared" si="5"/>
        <v>39548.5</v>
      </c>
      <c r="I39" s="59" t="s">
        <v>305</v>
      </c>
      <c r="J39" s="60" t="s">
        <v>306</v>
      </c>
      <c r="K39" s="59" t="s">
        <v>301</v>
      </c>
      <c r="L39" s="59" t="s">
        <v>307</v>
      </c>
      <c r="M39" s="60" t="s">
        <v>204</v>
      </c>
      <c r="N39" s="60" t="s">
        <v>145</v>
      </c>
      <c r="O39" s="61" t="s">
        <v>266</v>
      </c>
      <c r="P39" s="62" t="s">
        <v>288</v>
      </c>
    </row>
    <row r="40" spans="1:16" ht="12.75" customHeight="1" thickBot="1">
      <c r="A40" s="50" t="str">
        <f t="shared" si="0"/>
        <v>IBVS 6029 </v>
      </c>
      <c r="B40" s="6" t="str">
        <f t="shared" si="1"/>
        <v>II</v>
      </c>
      <c r="C40" s="50">
        <f t="shared" si="2"/>
        <v>56072.907599999999</v>
      </c>
      <c r="D40" s="20" t="str">
        <f t="shared" si="3"/>
        <v>vis</v>
      </c>
      <c r="E40" s="58">
        <f>VLOOKUP(C40,Active!C$21:E$964,3,FALSE)</f>
        <v>39663.943759768852</v>
      </c>
      <c r="F40" s="6" t="s">
        <v>81</v>
      </c>
      <c r="G40" s="20" t="str">
        <f t="shared" si="4"/>
        <v>56072.9076</v>
      </c>
      <c r="H40" s="50">
        <f t="shared" si="5"/>
        <v>39673.5</v>
      </c>
      <c r="I40" s="59" t="s">
        <v>308</v>
      </c>
      <c r="J40" s="60" t="s">
        <v>309</v>
      </c>
      <c r="K40" s="59" t="s">
        <v>310</v>
      </c>
      <c r="L40" s="59" t="s">
        <v>311</v>
      </c>
      <c r="M40" s="60" t="s">
        <v>204</v>
      </c>
      <c r="N40" s="60" t="s">
        <v>81</v>
      </c>
      <c r="O40" s="61" t="s">
        <v>157</v>
      </c>
      <c r="P40" s="62" t="s">
        <v>312</v>
      </c>
    </row>
    <row r="41" spans="1:16" ht="12.75" customHeight="1" thickBot="1">
      <c r="A41" s="50" t="str">
        <f t="shared" si="0"/>
        <v>OEJV 0160 </v>
      </c>
      <c r="B41" s="6" t="str">
        <f t="shared" si="1"/>
        <v>I</v>
      </c>
      <c r="C41" s="50">
        <f t="shared" si="2"/>
        <v>56135.513189999998</v>
      </c>
      <c r="D41" s="20" t="str">
        <f t="shared" si="3"/>
        <v>vis</v>
      </c>
      <c r="E41" s="58">
        <f>VLOOKUP(C41,Active!C$21:E$964,3,FALSE)</f>
        <v>39785.445083947103</v>
      </c>
      <c r="F41" s="6" t="s">
        <v>81</v>
      </c>
      <c r="G41" s="20" t="str">
        <f t="shared" si="4"/>
        <v>56135.51319</v>
      </c>
      <c r="H41" s="50">
        <f t="shared" si="5"/>
        <v>39795</v>
      </c>
      <c r="I41" s="59" t="s">
        <v>313</v>
      </c>
      <c r="J41" s="60" t="s">
        <v>314</v>
      </c>
      <c r="K41" s="59" t="s">
        <v>315</v>
      </c>
      <c r="L41" s="59" t="s">
        <v>316</v>
      </c>
      <c r="M41" s="60" t="s">
        <v>204</v>
      </c>
      <c r="N41" s="60" t="s">
        <v>145</v>
      </c>
      <c r="O41" s="61" t="s">
        <v>266</v>
      </c>
      <c r="P41" s="62" t="s">
        <v>288</v>
      </c>
    </row>
    <row r="42" spans="1:16" ht="12.75" customHeight="1" thickBot="1">
      <c r="A42" s="50" t="str">
        <f t="shared" si="0"/>
        <v>OEJV 0160 </v>
      </c>
      <c r="B42" s="6" t="str">
        <f t="shared" si="1"/>
        <v>I</v>
      </c>
      <c r="C42" s="50">
        <f t="shared" si="2"/>
        <v>56135.514089999997</v>
      </c>
      <c r="D42" s="20" t="str">
        <f t="shared" si="3"/>
        <v>vis</v>
      </c>
      <c r="E42" s="58">
        <f>VLOOKUP(C42,Active!C$21:E$964,3,FALSE)</f>
        <v>39785.446830615278</v>
      </c>
      <c r="F42" s="6" t="s">
        <v>81</v>
      </c>
      <c r="G42" s="20" t="str">
        <f t="shared" si="4"/>
        <v>56135.51409</v>
      </c>
      <c r="H42" s="50">
        <f t="shared" si="5"/>
        <v>39795</v>
      </c>
      <c r="I42" s="59" t="s">
        <v>317</v>
      </c>
      <c r="J42" s="60" t="s">
        <v>318</v>
      </c>
      <c r="K42" s="59" t="s">
        <v>315</v>
      </c>
      <c r="L42" s="59" t="s">
        <v>319</v>
      </c>
      <c r="M42" s="60" t="s">
        <v>204</v>
      </c>
      <c r="N42" s="60" t="s">
        <v>81</v>
      </c>
      <c r="O42" s="61" t="s">
        <v>266</v>
      </c>
      <c r="P42" s="62" t="s">
        <v>288</v>
      </c>
    </row>
    <row r="43" spans="1:16" ht="12.75" customHeight="1" thickBot="1">
      <c r="A43" s="50" t="str">
        <f t="shared" ref="A43:A73" si="6">P43</f>
        <v>OEJV 0160 </v>
      </c>
      <c r="B43" s="6" t="str">
        <f t="shared" ref="B43:B73" si="7">IF(H43=INT(H43),"I","II")</f>
        <v>I</v>
      </c>
      <c r="C43" s="50">
        <f t="shared" ref="C43:C73" si="8">1*G43</f>
        <v>56135.514490000001</v>
      </c>
      <c r="D43" s="20" t="str">
        <f t="shared" ref="D43:D73" si="9">VLOOKUP(F43,I$1:J$5,2,FALSE)</f>
        <v>vis</v>
      </c>
      <c r="E43" s="58">
        <f>VLOOKUP(C43,Active!C$21:E$964,3,FALSE)</f>
        <v>39785.447606912254</v>
      </c>
      <c r="F43" s="6" t="s">
        <v>81</v>
      </c>
      <c r="G43" s="20" t="str">
        <f t="shared" ref="G43:G73" si="10">MID(I43,3,LEN(I43)-3)</f>
        <v>56135.51449</v>
      </c>
      <c r="H43" s="50">
        <f t="shared" ref="H43:H73" si="11">1*K43</f>
        <v>39795</v>
      </c>
      <c r="I43" s="59" t="s">
        <v>320</v>
      </c>
      <c r="J43" s="60" t="s">
        <v>318</v>
      </c>
      <c r="K43" s="59" t="s">
        <v>315</v>
      </c>
      <c r="L43" s="59" t="s">
        <v>321</v>
      </c>
      <c r="M43" s="60" t="s">
        <v>204</v>
      </c>
      <c r="N43" s="60" t="s">
        <v>47</v>
      </c>
      <c r="O43" s="61" t="s">
        <v>266</v>
      </c>
      <c r="P43" s="62" t="s">
        <v>288</v>
      </c>
    </row>
    <row r="44" spans="1:16" ht="12.75" customHeight="1" thickBot="1">
      <c r="A44" s="50" t="str">
        <f t="shared" si="6"/>
        <v> AC 173.15 </v>
      </c>
      <c r="B44" s="6" t="str">
        <f t="shared" si="7"/>
        <v>I</v>
      </c>
      <c r="C44" s="50">
        <f t="shared" si="8"/>
        <v>35702.366000000002</v>
      </c>
      <c r="D44" s="20" t="str">
        <f t="shared" si="9"/>
        <v>vis</v>
      </c>
      <c r="E44" s="58">
        <f>VLOOKUP(C44,Active!C$21:E$964,3,FALSE)</f>
        <v>129.96957905666565</v>
      </c>
      <c r="F44" s="6" t="s">
        <v>81</v>
      </c>
      <c r="G44" s="20" t="str">
        <f t="shared" si="10"/>
        <v>35702.366</v>
      </c>
      <c r="H44" s="50">
        <f t="shared" si="11"/>
        <v>130</v>
      </c>
      <c r="I44" s="59" t="s">
        <v>88</v>
      </c>
      <c r="J44" s="60" t="s">
        <v>89</v>
      </c>
      <c r="K44" s="59">
        <v>130</v>
      </c>
      <c r="L44" s="59" t="s">
        <v>90</v>
      </c>
      <c r="M44" s="60" t="s">
        <v>85</v>
      </c>
      <c r="N44" s="60"/>
      <c r="O44" s="61" t="s">
        <v>86</v>
      </c>
      <c r="P44" s="61" t="s">
        <v>87</v>
      </c>
    </row>
    <row r="45" spans="1:16" ht="12.75" customHeight="1" thickBot="1">
      <c r="A45" s="50" t="str">
        <f t="shared" si="6"/>
        <v> AC 173.15 </v>
      </c>
      <c r="B45" s="6" t="str">
        <f t="shared" si="7"/>
        <v>I</v>
      </c>
      <c r="C45" s="50">
        <f t="shared" si="8"/>
        <v>35703.394999999997</v>
      </c>
      <c r="D45" s="20" t="str">
        <f t="shared" si="9"/>
        <v>vis</v>
      </c>
      <c r="E45" s="58">
        <f>VLOOKUP(C45,Active!C$21:E$964,3,FALSE)</f>
        <v>131.96660300578614</v>
      </c>
      <c r="F45" s="6" t="s">
        <v>81</v>
      </c>
      <c r="G45" s="20" t="str">
        <f t="shared" si="10"/>
        <v>35703.395</v>
      </c>
      <c r="H45" s="50">
        <f t="shared" si="11"/>
        <v>132</v>
      </c>
      <c r="I45" s="59" t="s">
        <v>91</v>
      </c>
      <c r="J45" s="60" t="s">
        <v>92</v>
      </c>
      <c r="K45" s="59">
        <v>132</v>
      </c>
      <c r="L45" s="59" t="s">
        <v>93</v>
      </c>
      <c r="M45" s="60" t="s">
        <v>85</v>
      </c>
      <c r="N45" s="60"/>
      <c r="O45" s="61" t="s">
        <v>86</v>
      </c>
      <c r="P45" s="61" t="s">
        <v>87</v>
      </c>
    </row>
    <row r="46" spans="1:16" ht="12.75" customHeight="1" thickBot="1">
      <c r="A46" s="50" t="str">
        <f t="shared" si="6"/>
        <v> AC 173.15 </v>
      </c>
      <c r="B46" s="6" t="str">
        <f t="shared" si="7"/>
        <v>I</v>
      </c>
      <c r="C46" s="50">
        <f t="shared" si="8"/>
        <v>35716.264000000003</v>
      </c>
      <c r="D46" s="20" t="str">
        <f t="shared" si="9"/>
        <v>vis</v>
      </c>
      <c r="E46" s="58">
        <f>VLOOKUP(C46,Active!C$21:E$964,3,FALSE)</f>
        <v>156.94201719564865</v>
      </c>
      <c r="F46" s="6" t="s">
        <v>81</v>
      </c>
      <c r="G46" s="20" t="str">
        <f t="shared" si="10"/>
        <v>35716.264</v>
      </c>
      <c r="H46" s="50">
        <f t="shared" si="11"/>
        <v>157</v>
      </c>
      <c r="I46" s="59" t="s">
        <v>94</v>
      </c>
      <c r="J46" s="60" t="s">
        <v>95</v>
      </c>
      <c r="K46" s="59">
        <v>157</v>
      </c>
      <c r="L46" s="59" t="s">
        <v>96</v>
      </c>
      <c r="M46" s="60" t="s">
        <v>85</v>
      </c>
      <c r="N46" s="60"/>
      <c r="O46" s="61" t="s">
        <v>86</v>
      </c>
      <c r="P46" s="61" t="s">
        <v>87</v>
      </c>
    </row>
    <row r="47" spans="1:16" ht="12.75" customHeight="1" thickBot="1">
      <c r="A47" s="50" t="str">
        <f t="shared" si="6"/>
        <v> AC 173.15 </v>
      </c>
      <c r="B47" s="6" t="str">
        <f t="shared" si="7"/>
        <v>I</v>
      </c>
      <c r="C47" s="50">
        <f t="shared" si="8"/>
        <v>35717.29</v>
      </c>
      <c r="D47" s="20" t="str">
        <f t="shared" si="9"/>
        <v>vis</v>
      </c>
      <c r="E47" s="58">
        <f>VLOOKUP(C47,Active!C$21:E$964,3,FALSE)</f>
        <v>158.93321891751805</v>
      </c>
      <c r="F47" s="6" t="s">
        <v>81</v>
      </c>
      <c r="G47" s="20" t="str">
        <f t="shared" si="10"/>
        <v>35717.290</v>
      </c>
      <c r="H47" s="50">
        <f t="shared" si="11"/>
        <v>159</v>
      </c>
      <c r="I47" s="59" t="s">
        <v>97</v>
      </c>
      <c r="J47" s="60" t="s">
        <v>98</v>
      </c>
      <c r="K47" s="59">
        <v>159</v>
      </c>
      <c r="L47" s="59" t="s">
        <v>99</v>
      </c>
      <c r="M47" s="60" t="s">
        <v>85</v>
      </c>
      <c r="N47" s="60"/>
      <c r="O47" s="61" t="s">
        <v>86</v>
      </c>
      <c r="P47" s="61" t="s">
        <v>87</v>
      </c>
    </row>
    <row r="48" spans="1:16" ht="12.75" customHeight="1" thickBot="1">
      <c r="A48" s="50" t="str">
        <f t="shared" si="6"/>
        <v> AC 173.15 </v>
      </c>
      <c r="B48" s="6" t="str">
        <f t="shared" si="7"/>
        <v>I</v>
      </c>
      <c r="C48" s="50">
        <f t="shared" si="8"/>
        <v>35718.338000000003</v>
      </c>
      <c r="D48" s="20" t="str">
        <f t="shared" si="9"/>
        <v>vis</v>
      </c>
      <c r="E48" s="58">
        <f>VLOOKUP(C48,Active!C$21:E$964,3,FALSE)</f>
        <v>160.96711697261372</v>
      </c>
      <c r="F48" s="6" t="s">
        <v>81</v>
      </c>
      <c r="G48" s="20" t="str">
        <f t="shared" si="10"/>
        <v>35718.338</v>
      </c>
      <c r="H48" s="50">
        <f t="shared" si="11"/>
        <v>161</v>
      </c>
      <c r="I48" s="59" t="s">
        <v>100</v>
      </c>
      <c r="J48" s="60" t="s">
        <v>101</v>
      </c>
      <c r="K48" s="59">
        <v>161</v>
      </c>
      <c r="L48" s="59" t="s">
        <v>102</v>
      </c>
      <c r="M48" s="60" t="s">
        <v>85</v>
      </c>
      <c r="N48" s="60"/>
      <c r="O48" s="61" t="s">
        <v>86</v>
      </c>
      <c r="P48" s="61" t="s">
        <v>87</v>
      </c>
    </row>
    <row r="49" spans="1:16" ht="12.75" customHeight="1" thickBot="1">
      <c r="A49" s="50" t="str">
        <f t="shared" si="6"/>
        <v> AC 173.15 </v>
      </c>
      <c r="B49" s="6" t="str">
        <f t="shared" si="7"/>
        <v>I</v>
      </c>
      <c r="C49" s="50">
        <f t="shared" si="8"/>
        <v>35719.364000000001</v>
      </c>
      <c r="D49" s="20" t="str">
        <f t="shared" si="9"/>
        <v>vis</v>
      </c>
      <c r="E49" s="58">
        <f>VLOOKUP(C49,Active!C$21:E$964,3,FALSE)</f>
        <v>162.95831869448313</v>
      </c>
      <c r="F49" s="6" t="s">
        <v>81</v>
      </c>
      <c r="G49" s="20" t="str">
        <f t="shared" si="10"/>
        <v>35719.364</v>
      </c>
      <c r="H49" s="50">
        <f t="shared" si="11"/>
        <v>163</v>
      </c>
      <c r="I49" s="59" t="s">
        <v>103</v>
      </c>
      <c r="J49" s="60" t="s">
        <v>104</v>
      </c>
      <c r="K49" s="59">
        <v>163</v>
      </c>
      <c r="L49" s="59" t="s">
        <v>105</v>
      </c>
      <c r="M49" s="60" t="s">
        <v>85</v>
      </c>
      <c r="N49" s="60"/>
      <c r="O49" s="61" t="s">
        <v>86</v>
      </c>
      <c r="P49" s="61" t="s">
        <v>87</v>
      </c>
    </row>
    <row r="50" spans="1:16" ht="12.75" customHeight="1" thickBot="1">
      <c r="A50" s="50" t="str">
        <f t="shared" si="6"/>
        <v> AC 173.15 </v>
      </c>
      <c r="B50" s="6" t="str">
        <f t="shared" si="7"/>
        <v>I</v>
      </c>
      <c r="C50" s="50">
        <f t="shared" si="8"/>
        <v>35720.392999999996</v>
      </c>
      <c r="D50" s="20" t="str">
        <f t="shared" si="9"/>
        <v>vis</v>
      </c>
      <c r="E50" s="58">
        <f>VLOOKUP(C50,Active!C$21:E$964,3,FALSE)</f>
        <v>164.95534264360361</v>
      </c>
      <c r="F50" s="6" t="s">
        <v>81</v>
      </c>
      <c r="G50" s="20" t="str">
        <f t="shared" si="10"/>
        <v>35720.393</v>
      </c>
      <c r="H50" s="50">
        <f t="shared" si="11"/>
        <v>165</v>
      </c>
      <c r="I50" s="59" t="s">
        <v>106</v>
      </c>
      <c r="J50" s="60" t="s">
        <v>107</v>
      </c>
      <c r="K50" s="59">
        <v>165</v>
      </c>
      <c r="L50" s="59" t="s">
        <v>108</v>
      </c>
      <c r="M50" s="60" t="s">
        <v>85</v>
      </c>
      <c r="N50" s="60"/>
      <c r="O50" s="61" t="s">
        <v>86</v>
      </c>
      <c r="P50" s="61" t="s">
        <v>87</v>
      </c>
    </row>
    <row r="51" spans="1:16" ht="12.75" customHeight="1" thickBot="1">
      <c r="A51" s="50" t="str">
        <f t="shared" si="6"/>
        <v> BRNO 30 </v>
      </c>
      <c r="B51" s="6" t="str">
        <f t="shared" si="7"/>
        <v>I</v>
      </c>
      <c r="C51" s="50">
        <f t="shared" si="8"/>
        <v>47654.493999999999</v>
      </c>
      <c r="D51" s="20" t="str">
        <f t="shared" si="9"/>
        <v>vis</v>
      </c>
      <c r="E51" s="58">
        <f>VLOOKUP(C51,Active!C$21:E$964,3,FALSE)</f>
        <v>23325.971385732591</v>
      </c>
      <c r="F51" s="6" t="s">
        <v>81</v>
      </c>
      <c r="G51" s="20" t="str">
        <f t="shared" si="10"/>
        <v>47654.494</v>
      </c>
      <c r="H51" s="50">
        <f t="shared" si="11"/>
        <v>23332</v>
      </c>
      <c r="I51" s="59" t="s">
        <v>109</v>
      </c>
      <c r="J51" s="60" t="s">
        <v>110</v>
      </c>
      <c r="K51" s="59">
        <v>23332</v>
      </c>
      <c r="L51" s="59" t="s">
        <v>111</v>
      </c>
      <c r="M51" s="60" t="s">
        <v>85</v>
      </c>
      <c r="N51" s="60"/>
      <c r="O51" s="61" t="s">
        <v>112</v>
      </c>
      <c r="P51" s="61" t="s">
        <v>113</v>
      </c>
    </row>
    <row r="52" spans="1:16" ht="12.75" customHeight="1" thickBot="1">
      <c r="A52" s="50" t="str">
        <f t="shared" si="6"/>
        <v> BRNO 30 </v>
      </c>
      <c r="B52" s="6" t="str">
        <f t="shared" si="7"/>
        <v>I</v>
      </c>
      <c r="C52" s="50">
        <f t="shared" si="8"/>
        <v>47669.417999999998</v>
      </c>
      <c r="D52" s="20" t="str">
        <f t="shared" si="9"/>
        <v>vis</v>
      </c>
      <c r="E52" s="58">
        <f>VLOOKUP(C52,Active!C$21:E$964,3,FALSE)</f>
        <v>23354.935025593444</v>
      </c>
      <c r="F52" s="6" t="s">
        <v>81</v>
      </c>
      <c r="G52" s="20" t="str">
        <f t="shared" si="10"/>
        <v>47669.418</v>
      </c>
      <c r="H52" s="50">
        <f t="shared" si="11"/>
        <v>23361</v>
      </c>
      <c r="I52" s="59" t="s">
        <v>114</v>
      </c>
      <c r="J52" s="60" t="s">
        <v>115</v>
      </c>
      <c r="K52" s="59">
        <v>23361</v>
      </c>
      <c r="L52" s="59" t="s">
        <v>116</v>
      </c>
      <c r="M52" s="60" t="s">
        <v>85</v>
      </c>
      <c r="N52" s="60"/>
      <c r="O52" s="61" t="s">
        <v>117</v>
      </c>
      <c r="P52" s="61" t="s">
        <v>113</v>
      </c>
    </row>
    <row r="53" spans="1:16" ht="12.75" customHeight="1" thickBot="1">
      <c r="A53" s="50" t="str">
        <f t="shared" si="6"/>
        <v> BRNO 30 </v>
      </c>
      <c r="B53" s="6" t="str">
        <f t="shared" si="7"/>
        <v>I</v>
      </c>
      <c r="C53" s="50">
        <f t="shared" si="8"/>
        <v>47669.436999999998</v>
      </c>
      <c r="D53" s="20" t="str">
        <f t="shared" si="9"/>
        <v>vis</v>
      </c>
      <c r="E53" s="58">
        <f>VLOOKUP(C53,Active!C$21:E$964,3,FALSE)</f>
        <v>23354.971899699405</v>
      </c>
      <c r="F53" s="6" t="s">
        <v>81</v>
      </c>
      <c r="G53" s="20" t="str">
        <f t="shared" si="10"/>
        <v>47669.437</v>
      </c>
      <c r="H53" s="50">
        <f t="shared" si="11"/>
        <v>23361</v>
      </c>
      <c r="I53" s="59" t="s">
        <v>118</v>
      </c>
      <c r="J53" s="60" t="s">
        <v>119</v>
      </c>
      <c r="K53" s="59">
        <v>23361</v>
      </c>
      <c r="L53" s="59" t="s">
        <v>120</v>
      </c>
      <c r="M53" s="60" t="s">
        <v>85</v>
      </c>
      <c r="N53" s="60"/>
      <c r="O53" s="61" t="s">
        <v>112</v>
      </c>
      <c r="P53" s="61" t="s">
        <v>113</v>
      </c>
    </row>
    <row r="54" spans="1:16" ht="12.75" customHeight="1" thickBot="1">
      <c r="A54" s="50" t="str">
        <f t="shared" si="6"/>
        <v> BRNO 30 </v>
      </c>
      <c r="B54" s="6" t="str">
        <f t="shared" si="7"/>
        <v>II</v>
      </c>
      <c r="C54" s="50">
        <f t="shared" si="8"/>
        <v>47737.455000000002</v>
      </c>
      <c r="D54" s="20" t="str">
        <f t="shared" si="9"/>
        <v>vis</v>
      </c>
      <c r="E54" s="58">
        <f>VLOOKUP(C54,Active!C$21:E$964,3,FALSE)</f>
        <v>23486.977317553581</v>
      </c>
      <c r="F54" s="6" t="s">
        <v>81</v>
      </c>
      <c r="G54" s="20" t="str">
        <f t="shared" si="10"/>
        <v>47737.455</v>
      </c>
      <c r="H54" s="50">
        <f t="shared" si="11"/>
        <v>23493.5</v>
      </c>
      <c r="I54" s="59" t="s">
        <v>121</v>
      </c>
      <c r="J54" s="60" t="s">
        <v>122</v>
      </c>
      <c r="K54" s="59">
        <v>23493.5</v>
      </c>
      <c r="L54" s="59" t="s">
        <v>123</v>
      </c>
      <c r="M54" s="60" t="s">
        <v>85</v>
      </c>
      <c r="N54" s="60"/>
      <c r="O54" s="61" t="s">
        <v>124</v>
      </c>
      <c r="P54" s="61" t="s">
        <v>113</v>
      </c>
    </row>
    <row r="55" spans="1:16" ht="12.75" customHeight="1" thickBot="1">
      <c r="A55" s="50" t="str">
        <f t="shared" si="6"/>
        <v> BRNO 30 </v>
      </c>
      <c r="B55" s="6" t="str">
        <f t="shared" si="7"/>
        <v>II</v>
      </c>
      <c r="C55" s="50">
        <f t="shared" si="8"/>
        <v>47737.455999999998</v>
      </c>
      <c r="D55" s="20" t="str">
        <f t="shared" si="9"/>
        <v>vis</v>
      </c>
      <c r="E55" s="58">
        <f>VLOOKUP(C55,Active!C$21:E$964,3,FALSE)</f>
        <v>23486.979258295993</v>
      </c>
      <c r="F55" s="6" t="s">
        <v>81</v>
      </c>
      <c r="G55" s="20" t="str">
        <f t="shared" si="10"/>
        <v>47737.456</v>
      </c>
      <c r="H55" s="50">
        <f t="shared" si="11"/>
        <v>23493.5</v>
      </c>
      <c r="I55" s="59" t="s">
        <v>125</v>
      </c>
      <c r="J55" s="60" t="s">
        <v>126</v>
      </c>
      <c r="K55" s="59">
        <v>23493.5</v>
      </c>
      <c r="L55" s="59" t="s">
        <v>127</v>
      </c>
      <c r="M55" s="60" t="s">
        <v>85</v>
      </c>
      <c r="N55" s="60"/>
      <c r="O55" s="61" t="s">
        <v>117</v>
      </c>
      <c r="P55" s="61" t="s">
        <v>113</v>
      </c>
    </row>
    <row r="56" spans="1:16" ht="12.75" customHeight="1" thickBot="1">
      <c r="A56" s="50" t="str">
        <f t="shared" si="6"/>
        <v> BRNO 30 </v>
      </c>
      <c r="B56" s="6" t="str">
        <f t="shared" si="7"/>
        <v>II</v>
      </c>
      <c r="C56" s="50">
        <f t="shared" si="8"/>
        <v>47737.457000000002</v>
      </c>
      <c r="D56" s="20" t="str">
        <f t="shared" si="9"/>
        <v>vis</v>
      </c>
      <c r="E56" s="58">
        <f>VLOOKUP(C56,Active!C$21:E$964,3,FALSE)</f>
        <v>23486.981199038419</v>
      </c>
      <c r="F56" s="6" t="s">
        <v>81</v>
      </c>
      <c r="G56" s="20" t="str">
        <f t="shared" si="10"/>
        <v>47737.457</v>
      </c>
      <c r="H56" s="50">
        <f t="shared" si="11"/>
        <v>23493.5</v>
      </c>
      <c r="I56" s="59" t="s">
        <v>128</v>
      </c>
      <c r="J56" s="60" t="s">
        <v>129</v>
      </c>
      <c r="K56" s="59">
        <v>23493.5</v>
      </c>
      <c r="L56" s="59" t="s">
        <v>130</v>
      </c>
      <c r="M56" s="60" t="s">
        <v>85</v>
      </c>
      <c r="N56" s="60"/>
      <c r="O56" s="61" t="s">
        <v>131</v>
      </c>
      <c r="P56" s="61" t="s">
        <v>113</v>
      </c>
    </row>
    <row r="57" spans="1:16" ht="12.75" customHeight="1" thickBot="1">
      <c r="A57" s="50" t="str">
        <f t="shared" si="6"/>
        <v> BRNO 30 </v>
      </c>
      <c r="B57" s="6" t="str">
        <f t="shared" si="7"/>
        <v>II</v>
      </c>
      <c r="C57" s="50">
        <f t="shared" si="8"/>
        <v>47737.461000000003</v>
      </c>
      <c r="D57" s="20" t="str">
        <f t="shared" si="9"/>
        <v>vis</v>
      </c>
      <c r="E57" s="58">
        <f>VLOOKUP(C57,Active!C$21:E$964,3,FALSE)</f>
        <v>23486.988962008094</v>
      </c>
      <c r="F57" s="6" t="s">
        <v>81</v>
      </c>
      <c r="G57" s="20" t="str">
        <f t="shared" si="10"/>
        <v>47737.461</v>
      </c>
      <c r="H57" s="50">
        <f t="shared" si="11"/>
        <v>23493.5</v>
      </c>
      <c r="I57" s="59" t="s">
        <v>132</v>
      </c>
      <c r="J57" s="60" t="s">
        <v>133</v>
      </c>
      <c r="K57" s="59">
        <v>23493.5</v>
      </c>
      <c r="L57" s="59" t="s">
        <v>134</v>
      </c>
      <c r="M57" s="60" t="s">
        <v>85</v>
      </c>
      <c r="N57" s="60"/>
      <c r="O57" s="61" t="s">
        <v>135</v>
      </c>
      <c r="P57" s="61" t="s">
        <v>113</v>
      </c>
    </row>
    <row r="58" spans="1:16" ht="12.75" customHeight="1" thickBot="1">
      <c r="A58" s="50" t="str">
        <f t="shared" si="6"/>
        <v> BBS 115 </v>
      </c>
      <c r="B58" s="6" t="str">
        <f t="shared" si="7"/>
        <v>II</v>
      </c>
      <c r="C58" s="50">
        <f t="shared" si="8"/>
        <v>50599.495999999999</v>
      </c>
      <c r="D58" s="20" t="str">
        <f t="shared" si="9"/>
        <v>vis</v>
      </c>
      <c r="E58" s="58">
        <f>VLOOKUP(C58,Active!C$21:E$964,3,FALSE)</f>
        <v>29041.461691112876</v>
      </c>
      <c r="F58" s="6" t="s">
        <v>81</v>
      </c>
      <c r="G58" s="20" t="str">
        <f t="shared" si="10"/>
        <v>50599.496</v>
      </c>
      <c r="H58" s="50">
        <f t="shared" si="11"/>
        <v>29049.5</v>
      </c>
      <c r="I58" s="59" t="s">
        <v>153</v>
      </c>
      <c r="J58" s="60" t="s">
        <v>154</v>
      </c>
      <c r="K58" s="59">
        <v>29049.5</v>
      </c>
      <c r="L58" s="59" t="s">
        <v>155</v>
      </c>
      <c r="M58" s="60" t="s">
        <v>144</v>
      </c>
      <c r="N58" s="60" t="s">
        <v>156</v>
      </c>
      <c r="O58" s="61" t="s">
        <v>157</v>
      </c>
      <c r="P58" s="61" t="s">
        <v>158</v>
      </c>
    </row>
    <row r="59" spans="1:16" ht="12.75" customHeight="1" thickBot="1">
      <c r="A59" s="50" t="str">
        <f t="shared" si="6"/>
        <v>IBVS 4587 </v>
      </c>
      <c r="B59" s="6" t="str">
        <f t="shared" si="7"/>
        <v>II</v>
      </c>
      <c r="C59" s="50">
        <f t="shared" si="8"/>
        <v>50710.284</v>
      </c>
      <c r="D59" s="20" t="str">
        <f t="shared" si="9"/>
        <v>vis</v>
      </c>
      <c r="E59" s="58" t="e">
        <f>VLOOKUP(C59,Active!C$21:E$964,3,FALSE)</f>
        <v>#N/A</v>
      </c>
      <c r="F59" s="6" t="s">
        <v>81</v>
      </c>
      <c r="G59" s="20" t="str">
        <f t="shared" si="10"/>
        <v>50710.284</v>
      </c>
      <c r="H59" s="50">
        <f t="shared" si="11"/>
        <v>29264.5</v>
      </c>
      <c r="I59" s="59" t="s">
        <v>159</v>
      </c>
      <c r="J59" s="60" t="s">
        <v>160</v>
      </c>
      <c r="K59" s="59">
        <v>29264.5</v>
      </c>
      <c r="L59" s="59" t="s">
        <v>161</v>
      </c>
      <c r="M59" s="60" t="s">
        <v>144</v>
      </c>
      <c r="N59" s="60" t="s">
        <v>156</v>
      </c>
      <c r="O59" s="61" t="s">
        <v>162</v>
      </c>
      <c r="P59" s="62" t="s">
        <v>163</v>
      </c>
    </row>
    <row r="60" spans="1:16" ht="12.75" customHeight="1" thickBot="1">
      <c r="A60" s="50" t="str">
        <f t="shared" si="6"/>
        <v>IBVS 4587 </v>
      </c>
      <c r="B60" s="6" t="str">
        <f t="shared" si="7"/>
        <v>I</v>
      </c>
      <c r="C60" s="50">
        <f t="shared" si="8"/>
        <v>50770.311000000002</v>
      </c>
      <c r="D60" s="20" t="str">
        <f t="shared" si="9"/>
        <v>vis</v>
      </c>
      <c r="E60" s="58">
        <f>VLOOKUP(C60,Active!C$21:E$964,3,FALSE)</f>
        <v>29372.969607410912</v>
      </c>
      <c r="F60" s="6" t="s">
        <v>81</v>
      </c>
      <c r="G60" s="20" t="str">
        <f t="shared" si="10"/>
        <v>50770.311</v>
      </c>
      <c r="H60" s="50">
        <f t="shared" si="11"/>
        <v>29381</v>
      </c>
      <c r="I60" s="59" t="s">
        <v>164</v>
      </c>
      <c r="J60" s="60" t="s">
        <v>165</v>
      </c>
      <c r="K60" s="59">
        <v>29381</v>
      </c>
      <c r="L60" s="59" t="s">
        <v>166</v>
      </c>
      <c r="M60" s="60" t="s">
        <v>144</v>
      </c>
      <c r="N60" s="60" t="s">
        <v>156</v>
      </c>
      <c r="O60" s="61" t="s">
        <v>162</v>
      </c>
      <c r="P60" s="62" t="s">
        <v>163</v>
      </c>
    </row>
    <row r="61" spans="1:16" ht="12.75" customHeight="1" thickBot="1">
      <c r="A61" s="50" t="str">
        <f t="shared" si="6"/>
        <v>IBVS 4587 </v>
      </c>
      <c r="B61" s="6" t="str">
        <f t="shared" si="7"/>
        <v>I</v>
      </c>
      <c r="C61" s="50">
        <f t="shared" si="8"/>
        <v>50774.434000000001</v>
      </c>
      <c r="D61" s="20" t="str">
        <f t="shared" si="9"/>
        <v>vis</v>
      </c>
      <c r="E61" s="58">
        <f>VLOOKUP(C61,Active!C$21:E$964,3,FALSE)</f>
        <v>29380.971288404366</v>
      </c>
      <c r="F61" s="6" t="s">
        <v>81</v>
      </c>
      <c r="G61" s="20" t="str">
        <f t="shared" si="10"/>
        <v>50774.434</v>
      </c>
      <c r="H61" s="50">
        <f t="shared" si="11"/>
        <v>29389</v>
      </c>
      <c r="I61" s="59" t="s">
        <v>167</v>
      </c>
      <c r="J61" s="60" t="s">
        <v>168</v>
      </c>
      <c r="K61" s="59">
        <v>29389</v>
      </c>
      <c r="L61" s="59" t="s">
        <v>169</v>
      </c>
      <c r="M61" s="60" t="s">
        <v>144</v>
      </c>
      <c r="N61" s="60" t="s">
        <v>156</v>
      </c>
      <c r="O61" s="61" t="s">
        <v>162</v>
      </c>
      <c r="P61" s="62" t="s">
        <v>163</v>
      </c>
    </row>
    <row r="62" spans="1:16" ht="12.75" customHeight="1" thickBot="1">
      <c r="A62" s="50" t="str">
        <f t="shared" si="6"/>
        <v>IBVS 4587 </v>
      </c>
      <c r="B62" s="6" t="str">
        <f t="shared" si="7"/>
        <v>II</v>
      </c>
      <c r="C62" s="50">
        <f t="shared" si="8"/>
        <v>50778.296999999999</v>
      </c>
      <c r="D62" s="20" t="str">
        <f t="shared" si="9"/>
        <v>vis</v>
      </c>
      <c r="E62" s="58">
        <f>VLOOKUP(C62,Active!C$21:E$964,3,FALSE)</f>
        <v>29388.468376368877</v>
      </c>
      <c r="F62" s="6" t="s">
        <v>81</v>
      </c>
      <c r="G62" s="20" t="str">
        <f t="shared" si="10"/>
        <v>50778.297</v>
      </c>
      <c r="H62" s="50">
        <f t="shared" si="11"/>
        <v>29396.5</v>
      </c>
      <c r="I62" s="59" t="s">
        <v>170</v>
      </c>
      <c r="J62" s="60" t="s">
        <v>171</v>
      </c>
      <c r="K62" s="59">
        <v>29396.5</v>
      </c>
      <c r="L62" s="59" t="s">
        <v>172</v>
      </c>
      <c r="M62" s="60" t="s">
        <v>144</v>
      </c>
      <c r="N62" s="60" t="s">
        <v>156</v>
      </c>
      <c r="O62" s="61" t="s">
        <v>162</v>
      </c>
      <c r="P62" s="62" t="s">
        <v>163</v>
      </c>
    </row>
    <row r="63" spans="1:16" ht="12.75" customHeight="1" thickBot="1">
      <c r="A63" s="50" t="str">
        <f t="shared" si="6"/>
        <v>IBVS 4587 </v>
      </c>
      <c r="B63" s="6" t="str">
        <f t="shared" si="7"/>
        <v>I</v>
      </c>
      <c r="C63" s="50">
        <f t="shared" si="8"/>
        <v>50822.351999999999</v>
      </c>
      <c r="D63" s="20" t="str">
        <f t="shared" si="9"/>
        <v>vis</v>
      </c>
      <c r="E63" s="58" t="e">
        <f>VLOOKUP(C63,Active!C$21:E$964,3,FALSE)</f>
        <v>#N/A</v>
      </c>
      <c r="F63" s="6" t="s">
        <v>81</v>
      </c>
      <c r="G63" s="20" t="str">
        <f t="shared" si="10"/>
        <v>50822.3520</v>
      </c>
      <c r="H63" s="50">
        <f t="shared" si="11"/>
        <v>29482</v>
      </c>
      <c r="I63" s="59" t="s">
        <v>173</v>
      </c>
      <c r="J63" s="60" t="s">
        <v>174</v>
      </c>
      <c r="K63" s="59">
        <v>29482</v>
      </c>
      <c r="L63" s="59" t="s">
        <v>175</v>
      </c>
      <c r="M63" s="60" t="s">
        <v>144</v>
      </c>
      <c r="N63" s="60" t="s">
        <v>156</v>
      </c>
      <c r="O63" s="61" t="s">
        <v>162</v>
      </c>
      <c r="P63" s="62" t="s">
        <v>163</v>
      </c>
    </row>
    <row r="64" spans="1:16" ht="12.75" customHeight="1" thickBot="1">
      <c r="A64" s="50" t="str">
        <f t="shared" si="6"/>
        <v>IBVS 4587 </v>
      </c>
      <c r="B64" s="6" t="str">
        <f t="shared" si="7"/>
        <v>II</v>
      </c>
      <c r="C64" s="50">
        <f t="shared" si="8"/>
        <v>50823.6397</v>
      </c>
      <c r="D64" s="20" t="str">
        <f t="shared" si="9"/>
        <v>vis</v>
      </c>
      <c r="E64" s="58" t="e">
        <f>VLOOKUP(C64,Active!C$21:E$964,3,FALSE)</f>
        <v>#N/A</v>
      </c>
      <c r="F64" s="6" t="s">
        <v>81</v>
      </c>
      <c r="G64" s="20" t="str">
        <f t="shared" si="10"/>
        <v>50823.6397</v>
      </c>
      <c r="H64" s="50">
        <f t="shared" si="11"/>
        <v>29484.5</v>
      </c>
      <c r="I64" s="59" t="s">
        <v>176</v>
      </c>
      <c r="J64" s="60" t="s">
        <v>177</v>
      </c>
      <c r="K64" s="59">
        <v>29484.5</v>
      </c>
      <c r="L64" s="59" t="s">
        <v>178</v>
      </c>
      <c r="M64" s="60" t="s">
        <v>144</v>
      </c>
      <c r="N64" s="60" t="s">
        <v>156</v>
      </c>
      <c r="O64" s="61" t="s">
        <v>162</v>
      </c>
      <c r="P64" s="62" t="s">
        <v>163</v>
      </c>
    </row>
    <row r="65" spans="1:16" ht="12.75" customHeight="1" thickBot="1">
      <c r="A65" s="50" t="str">
        <f t="shared" si="6"/>
        <v> BBS 122 </v>
      </c>
      <c r="B65" s="6" t="str">
        <f t="shared" si="7"/>
        <v>I</v>
      </c>
      <c r="C65" s="50">
        <f t="shared" si="8"/>
        <v>51556.607799999998</v>
      </c>
      <c r="D65" s="20" t="str">
        <f t="shared" si="9"/>
        <v>vis</v>
      </c>
      <c r="E65" s="58">
        <f>VLOOKUP(C65,Active!C$21:E$964,3,FALSE)</f>
        <v>30898.969161078963</v>
      </c>
      <c r="F65" s="6" t="s">
        <v>81</v>
      </c>
      <c r="G65" s="20" t="str">
        <f t="shared" si="10"/>
        <v>51556.6078</v>
      </c>
      <c r="H65" s="50">
        <f t="shared" si="11"/>
        <v>30907</v>
      </c>
      <c r="I65" s="59" t="s">
        <v>189</v>
      </c>
      <c r="J65" s="60" t="s">
        <v>190</v>
      </c>
      <c r="K65" s="59">
        <v>30907</v>
      </c>
      <c r="L65" s="59" t="s">
        <v>191</v>
      </c>
      <c r="M65" s="60" t="s">
        <v>144</v>
      </c>
      <c r="N65" s="60" t="s">
        <v>156</v>
      </c>
      <c r="O65" s="61" t="s">
        <v>162</v>
      </c>
      <c r="P65" s="61" t="s">
        <v>192</v>
      </c>
    </row>
    <row r="66" spans="1:16" ht="12.75" customHeight="1" thickBot="1">
      <c r="A66" s="50" t="str">
        <f t="shared" si="6"/>
        <v> BBS 124 </v>
      </c>
      <c r="B66" s="6" t="str">
        <f t="shared" si="7"/>
        <v>I</v>
      </c>
      <c r="C66" s="50">
        <f t="shared" si="8"/>
        <v>51926.568099999997</v>
      </c>
      <c r="D66" s="20" t="str">
        <f t="shared" si="9"/>
        <v>vis</v>
      </c>
      <c r="E66" s="58">
        <f>VLOOKUP(C66,Active!C$21:E$964,3,FALSE)</f>
        <v>31616.966808627443</v>
      </c>
      <c r="F66" s="6" t="s">
        <v>81</v>
      </c>
      <c r="G66" s="20" t="str">
        <f t="shared" si="10"/>
        <v>51926.5681</v>
      </c>
      <c r="H66" s="50">
        <f t="shared" si="11"/>
        <v>31625</v>
      </c>
      <c r="I66" s="59" t="s">
        <v>197</v>
      </c>
      <c r="J66" s="60" t="s">
        <v>198</v>
      </c>
      <c r="K66" s="59">
        <v>31625</v>
      </c>
      <c r="L66" s="59" t="s">
        <v>199</v>
      </c>
      <c r="M66" s="60" t="s">
        <v>144</v>
      </c>
      <c r="N66" s="60" t="s">
        <v>156</v>
      </c>
      <c r="O66" s="61" t="s">
        <v>157</v>
      </c>
      <c r="P66" s="61" t="s">
        <v>200</v>
      </c>
    </row>
    <row r="67" spans="1:16" ht="12.75" customHeight="1" thickBot="1">
      <c r="A67" s="50" t="str">
        <f t="shared" si="6"/>
        <v>OEJV 0074 </v>
      </c>
      <c r="B67" s="6" t="str">
        <f t="shared" si="7"/>
        <v>I</v>
      </c>
      <c r="C67" s="50">
        <f t="shared" si="8"/>
        <v>52140.398000000001</v>
      </c>
      <c r="D67" s="20" t="str">
        <f t="shared" si="9"/>
        <v>vis</v>
      </c>
      <c r="E67" s="58" t="e">
        <f>VLOOKUP(C67,Active!C$21:E$964,3,FALSE)</f>
        <v>#N/A</v>
      </c>
      <c r="F67" s="6" t="s">
        <v>81</v>
      </c>
      <c r="G67" s="20" t="str">
        <f t="shared" si="10"/>
        <v>52140.398</v>
      </c>
      <c r="H67" s="50">
        <f t="shared" si="11"/>
        <v>32040</v>
      </c>
      <c r="I67" s="59" t="s">
        <v>210</v>
      </c>
      <c r="J67" s="60" t="s">
        <v>211</v>
      </c>
      <c r="K67" s="59">
        <v>32040</v>
      </c>
      <c r="L67" s="59" t="s">
        <v>212</v>
      </c>
      <c r="M67" s="60" t="s">
        <v>85</v>
      </c>
      <c r="N67" s="60"/>
      <c r="O67" s="61" t="s">
        <v>213</v>
      </c>
      <c r="P67" s="62" t="s">
        <v>206</v>
      </c>
    </row>
    <row r="68" spans="1:16" ht="12.75" customHeight="1" thickBot="1">
      <c r="A68" s="50" t="str">
        <f t="shared" si="6"/>
        <v>OEJV 0074 </v>
      </c>
      <c r="B68" s="6" t="str">
        <f t="shared" si="7"/>
        <v>I</v>
      </c>
      <c r="C68" s="50">
        <f t="shared" si="8"/>
        <v>52461.419000000002</v>
      </c>
      <c r="D68" s="20" t="str">
        <f t="shared" si="9"/>
        <v>vis</v>
      </c>
      <c r="E68" s="58" t="e">
        <f>VLOOKUP(C68,Active!C$21:E$964,3,FALSE)</f>
        <v>#N/A</v>
      </c>
      <c r="F68" s="6" t="s">
        <v>81</v>
      </c>
      <c r="G68" s="20" t="str">
        <f t="shared" si="10"/>
        <v>52461.419</v>
      </c>
      <c r="H68" s="50">
        <f t="shared" si="11"/>
        <v>32663</v>
      </c>
      <c r="I68" s="59" t="s">
        <v>222</v>
      </c>
      <c r="J68" s="60" t="s">
        <v>223</v>
      </c>
      <c r="K68" s="59">
        <v>32663</v>
      </c>
      <c r="L68" s="59" t="s">
        <v>224</v>
      </c>
      <c r="M68" s="60" t="s">
        <v>85</v>
      </c>
      <c r="N68" s="60"/>
      <c r="O68" s="61" t="s">
        <v>225</v>
      </c>
      <c r="P68" s="62" t="s">
        <v>206</v>
      </c>
    </row>
    <row r="69" spans="1:16" ht="12.75" customHeight="1" thickBot="1">
      <c r="A69" s="50" t="str">
        <f t="shared" si="6"/>
        <v>OEJV 0107 </v>
      </c>
      <c r="B69" s="6" t="str">
        <f t="shared" si="7"/>
        <v>II</v>
      </c>
      <c r="C69" s="50">
        <f t="shared" si="8"/>
        <v>54214.346100000002</v>
      </c>
      <c r="D69" s="20" t="str">
        <f t="shared" si="9"/>
        <v>vis</v>
      </c>
      <c r="E69" s="58" t="e">
        <f>VLOOKUP(C69,Active!C$21:E$964,3,FALSE)</f>
        <v>#N/A</v>
      </c>
      <c r="F69" s="6" t="s">
        <v>81</v>
      </c>
      <c r="G69" s="20" t="str">
        <f t="shared" si="10"/>
        <v>54214.3461</v>
      </c>
      <c r="H69" s="50">
        <f t="shared" si="11"/>
        <v>36065.5</v>
      </c>
      <c r="I69" s="59" t="s">
        <v>263</v>
      </c>
      <c r="J69" s="60" t="s">
        <v>264</v>
      </c>
      <c r="K69" s="59">
        <v>36065.5</v>
      </c>
      <c r="L69" s="59" t="s">
        <v>265</v>
      </c>
      <c r="M69" s="60" t="s">
        <v>204</v>
      </c>
      <c r="N69" s="60" t="s">
        <v>145</v>
      </c>
      <c r="O69" s="61" t="s">
        <v>266</v>
      </c>
      <c r="P69" s="62" t="s">
        <v>267</v>
      </c>
    </row>
    <row r="70" spans="1:16" ht="12.75" customHeight="1" thickBot="1">
      <c r="A70" s="50" t="str">
        <f t="shared" si="6"/>
        <v>OEJV 0137 </v>
      </c>
      <c r="B70" s="6" t="str">
        <f t="shared" si="7"/>
        <v>I</v>
      </c>
      <c r="C70" s="50">
        <f t="shared" si="8"/>
        <v>55479.322899999999</v>
      </c>
      <c r="D70" s="20" t="str">
        <f t="shared" si="9"/>
        <v>vis</v>
      </c>
      <c r="E70" s="58" t="e">
        <f>VLOOKUP(C70,Active!C$21:E$964,3,FALSE)</f>
        <v>#N/A</v>
      </c>
      <c r="F70" s="6" t="s">
        <v>81</v>
      </c>
      <c r="G70" s="20" t="str">
        <f t="shared" si="10"/>
        <v>55479.3229</v>
      </c>
      <c r="H70" s="50">
        <f t="shared" si="11"/>
        <v>38521</v>
      </c>
      <c r="I70" s="59" t="s">
        <v>274</v>
      </c>
      <c r="J70" s="60" t="s">
        <v>275</v>
      </c>
      <c r="K70" s="59" t="s">
        <v>276</v>
      </c>
      <c r="L70" s="59" t="s">
        <v>277</v>
      </c>
      <c r="M70" s="60" t="s">
        <v>204</v>
      </c>
      <c r="N70" s="60" t="s">
        <v>81</v>
      </c>
      <c r="O70" s="61" t="s">
        <v>266</v>
      </c>
      <c r="P70" s="62" t="s">
        <v>278</v>
      </c>
    </row>
    <row r="71" spans="1:16" ht="12.75" customHeight="1" thickBot="1">
      <c r="A71" s="50" t="str">
        <f t="shared" si="6"/>
        <v>OEJV 0137 </v>
      </c>
      <c r="B71" s="6" t="str">
        <f t="shared" si="7"/>
        <v>I</v>
      </c>
      <c r="C71" s="50">
        <f t="shared" si="8"/>
        <v>55479.322999999997</v>
      </c>
      <c r="D71" s="20" t="str">
        <f t="shared" si="9"/>
        <v>vis</v>
      </c>
      <c r="E71" s="58" t="e">
        <f>VLOOKUP(C71,Active!C$21:E$964,3,FALSE)</f>
        <v>#N/A</v>
      </c>
      <c r="F71" s="6" t="s">
        <v>81</v>
      </c>
      <c r="G71" s="20" t="str">
        <f t="shared" si="10"/>
        <v>55479.3230</v>
      </c>
      <c r="H71" s="50">
        <f t="shared" si="11"/>
        <v>38521</v>
      </c>
      <c r="I71" s="59" t="s">
        <v>279</v>
      </c>
      <c r="J71" s="60" t="s">
        <v>280</v>
      </c>
      <c r="K71" s="59" t="s">
        <v>276</v>
      </c>
      <c r="L71" s="59" t="s">
        <v>281</v>
      </c>
      <c r="M71" s="60" t="s">
        <v>204</v>
      </c>
      <c r="N71" s="60" t="s">
        <v>145</v>
      </c>
      <c r="O71" s="61" t="s">
        <v>266</v>
      </c>
      <c r="P71" s="62" t="s">
        <v>278</v>
      </c>
    </row>
    <row r="72" spans="1:16" ht="12.75" customHeight="1" thickBot="1">
      <c r="A72" s="50" t="str">
        <f t="shared" si="6"/>
        <v>OEJV 0137 </v>
      </c>
      <c r="B72" s="6" t="str">
        <f t="shared" si="7"/>
        <v>I</v>
      </c>
      <c r="C72" s="50">
        <f t="shared" si="8"/>
        <v>55479.323100000001</v>
      </c>
      <c r="D72" s="20" t="str">
        <f t="shared" si="9"/>
        <v>vis</v>
      </c>
      <c r="E72" s="58" t="e">
        <f>VLOOKUP(C72,Active!C$21:E$964,3,FALSE)</f>
        <v>#N/A</v>
      </c>
      <c r="F72" s="6" t="s">
        <v>81</v>
      </c>
      <c r="G72" s="20" t="str">
        <f t="shared" si="10"/>
        <v>55479.3231</v>
      </c>
      <c r="H72" s="50">
        <f t="shared" si="11"/>
        <v>38521</v>
      </c>
      <c r="I72" s="59" t="s">
        <v>282</v>
      </c>
      <c r="J72" s="60" t="s">
        <v>280</v>
      </c>
      <c r="K72" s="59" t="s">
        <v>276</v>
      </c>
      <c r="L72" s="59" t="s">
        <v>283</v>
      </c>
      <c r="M72" s="60" t="s">
        <v>204</v>
      </c>
      <c r="N72" s="60" t="s">
        <v>47</v>
      </c>
      <c r="O72" s="61" t="s">
        <v>266</v>
      </c>
      <c r="P72" s="62" t="s">
        <v>278</v>
      </c>
    </row>
    <row r="73" spans="1:16" ht="12.75" customHeight="1" thickBot="1">
      <c r="A73" s="50" t="str">
        <f t="shared" si="6"/>
        <v>BAVM 225 </v>
      </c>
      <c r="B73" s="6" t="str">
        <f t="shared" si="7"/>
        <v>I</v>
      </c>
      <c r="C73" s="50">
        <f t="shared" si="8"/>
        <v>55710.418400000002</v>
      </c>
      <c r="D73" s="20" t="str">
        <f t="shared" si="9"/>
        <v>vis</v>
      </c>
      <c r="E73" s="58">
        <f>VLOOKUP(C73,Active!C$21:E$964,3,FALSE)</f>
        <v>38960.445592906814</v>
      </c>
      <c r="F73" s="6" t="s">
        <v>81</v>
      </c>
      <c r="G73" s="20" t="str">
        <f t="shared" si="10"/>
        <v>55710.4184</v>
      </c>
      <c r="H73" s="50">
        <f t="shared" si="11"/>
        <v>38970</v>
      </c>
      <c r="I73" s="59" t="s">
        <v>293</v>
      </c>
      <c r="J73" s="60" t="s">
        <v>294</v>
      </c>
      <c r="K73" s="59" t="s">
        <v>295</v>
      </c>
      <c r="L73" s="59" t="s">
        <v>296</v>
      </c>
      <c r="M73" s="60" t="s">
        <v>204</v>
      </c>
      <c r="N73" s="60" t="s">
        <v>186</v>
      </c>
      <c r="O73" s="61" t="s">
        <v>297</v>
      </c>
      <c r="P73" s="62" t="s">
        <v>298</v>
      </c>
    </row>
    <row r="74" spans="1:16">
      <c r="B74" s="6"/>
      <c r="F74" s="6"/>
    </row>
    <row r="75" spans="1:16">
      <c r="B75" s="6"/>
      <c r="F75" s="6"/>
    </row>
    <row r="76" spans="1:16">
      <c r="B76" s="6"/>
      <c r="F76" s="6"/>
    </row>
    <row r="77" spans="1:16">
      <c r="B77" s="6"/>
      <c r="F77" s="6"/>
    </row>
    <row r="78" spans="1:16">
      <c r="B78" s="6"/>
      <c r="F78" s="6"/>
    </row>
    <row r="79" spans="1:16">
      <c r="B79" s="6"/>
      <c r="F79" s="6"/>
    </row>
    <row r="80" spans="1:1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</sheetData>
  <phoneticPr fontId="8" type="noConversion"/>
  <hyperlinks>
    <hyperlink ref="P12" r:id="rId1" display="http://www.konkoly.hu/cgi-bin/IBVS?4605" xr:uid="{00000000-0004-0000-0200-000000000000}"/>
    <hyperlink ref="P13" r:id="rId2" display="http://www.konkoly.hu/cgi-bin/IBVS?4605" xr:uid="{00000000-0004-0000-0200-000001000000}"/>
    <hyperlink ref="P14" r:id="rId3" display="http://www.konkoly.hu/cgi-bin/IBVS?4605" xr:uid="{00000000-0004-0000-0200-000002000000}"/>
    <hyperlink ref="P15" r:id="rId4" display="http://www.konkoly.hu/cgi-bin/IBVS?4605" xr:uid="{00000000-0004-0000-0200-000003000000}"/>
    <hyperlink ref="P59" r:id="rId5" display="http://www.konkoly.hu/cgi-bin/IBVS?4587" xr:uid="{00000000-0004-0000-0200-000004000000}"/>
    <hyperlink ref="P60" r:id="rId6" display="http://www.konkoly.hu/cgi-bin/IBVS?4587" xr:uid="{00000000-0004-0000-0200-000005000000}"/>
    <hyperlink ref="P61" r:id="rId7" display="http://www.konkoly.hu/cgi-bin/IBVS?4587" xr:uid="{00000000-0004-0000-0200-000006000000}"/>
    <hyperlink ref="P62" r:id="rId8" display="http://www.konkoly.hu/cgi-bin/IBVS?4587" xr:uid="{00000000-0004-0000-0200-000007000000}"/>
    <hyperlink ref="P63" r:id="rId9" display="http://www.konkoly.hu/cgi-bin/IBVS?4587" xr:uid="{00000000-0004-0000-0200-000008000000}"/>
    <hyperlink ref="P64" r:id="rId10" display="http://www.konkoly.hu/cgi-bin/IBVS?4587" xr:uid="{00000000-0004-0000-0200-000009000000}"/>
    <hyperlink ref="P17" r:id="rId11" display="http://www.bav-astro.de/sfs/BAVM_link.php?BAVMnr=128" xr:uid="{00000000-0004-0000-0200-00000A000000}"/>
    <hyperlink ref="P18" r:id="rId12" display="http://www.bav-astro.de/sfs/BAVM_link.php?BAVMnr=152" xr:uid="{00000000-0004-0000-0200-00000B000000}"/>
    <hyperlink ref="P19" r:id="rId13" display="http://var.astro.cz/oejv/issues/oejv0074.pdf" xr:uid="{00000000-0004-0000-0200-00000C000000}"/>
    <hyperlink ref="P20" r:id="rId14" display="http://www.bav-astro.de/sfs/BAVM_link.php?BAVMnr=152" xr:uid="{00000000-0004-0000-0200-00000D000000}"/>
    <hyperlink ref="P67" r:id="rId15" display="http://var.astro.cz/oejv/issues/oejv0074.pdf" xr:uid="{00000000-0004-0000-0200-00000E000000}"/>
    <hyperlink ref="P21" r:id="rId16" display="http://www.bav-astro.de/sfs/BAVM_link.php?BAVMnr=158" xr:uid="{00000000-0004-0000-0200-00000F000000}"/>
    <hyperlink ref="P22" r:id="rId17" display="http://www.bav-astro.de/sfs/BAVM_link.php?BAVMnr=158" xr:uid="{00000000-0004-0000-0200-000010000000}"/>
    <hyperlink ref="P68" r:id="rId18" display="http://var.astro.cz/oejv/issues/oejv0074.pdf" xr:uid="{00000000-0004-0000-0200-000011000000}"/>
    <hyperlink ref="P25" r:id="rId19" display="http://var.astro.cz/oejv/issues/oejv0003.pdf" xr:uid="{00000000-0004-0000-0200-000012000000}"/>
    <hyperlink ref="P26" r:id="rId20" display="http://www.bav-astro.de/sfs/BAVM_link.php?BAVMnr=178" xr:uid="{00000000-0004-0000-0200-000013000000}"/>
    <hyperlink ref="P27" r:id="rId21" display="http://www.konkoly.hu/cgi-bin/IBVS?5784" xr:uid="{00000000-0004-0000-0200-000014000000}"/>
    <hyperlink ref="P28" r:id="rId22" display="http://www.konkoly.hu/cgi-bin/IBVS?5784" xr:uid="{00000000-0004-0000-0200-000015000000}"/>
    <hyperlink ref="P29" r:id="rId23" display="http://www.konkoly.hu/cgi-bin/IBVS?5784" xr:uid="{00000000-0004-0000-0200-000016000000}"/>
    <hyperlink ref="P30" r:id="rId24" display="http://www.konkoly.hu/cgi-bin/IBVS?5784" xr:uid="{00000000-0004-0000-0200-000017000000}"/>
    <hyperlink ref="P31" r:id="rId25" display="http://www.konkoly.hu/cgi-bin/IBVS?5784" xr:uid="{00000000-0004-0000-0200-000018000000}"/>
    <hyperlink ref="P32" r:id="rId26" display="http://www.konkoly.hu/cgi-bin/IBVS?5784" xr:uid="{00000000-0004-0000-0200-000019000000}"/>
    <hyperlink ref="P69" r:id="rId27" display="http://var.astro.cz/oejv/issues/oejv0107.pdf" xr:uid="{00000000-0004-0000-0200-00001A000000}"/>
    <hyperlink ref="P33" r:id="rId28" display="http://www.bav-astro.de/sfs/BAVM_link.php?BAVMnr=209" xr:uid="{00000000-0004-0000-0200-00001B000000}"/>
    <hyperlink ref="P70" r:id="rId29" display="http://var.astro.cz/oejv/issues/oejv0137.pdf" xr:uid="{00000000-0004-0000-0200-00001C000000}"/>
    <hyperlink ref="P71" r:id="rId30" display="http://var.astro.cz/oejv/issues/oejv0137.pdf" xr:uid="{00000000-0004-0000-0200-00001D000000}"/>
    <hyperlink ref="P72" r:id="rId31" display="http://var.astro.cz/oejv/issues/oejv0137.pdf" xr:uid="{00000000-0004-0000-0200-00001E000000}"/>
    <hyperlink ref="P34" r:id="rId32" display="http://var.astro.cz/oejv/issues/oejv0160.pdf" xr:uid="{00000000-0004-0000-0200-00001F000000}"/>
    <hyperlink ref="P35" r:id="rId33" display="http://var.astro.cz/oejv/issues/oejv0160.pdf" xr:uid="{00000000-0004-0000-0200-000020000000}"/>
    <hyperlink ref="P36" r:id="rId34" display="http://var.astro.cz/oejv/issues/oejv0160.pdf" xr:uid="{00000000-0004-0000-0200-000021000000}"/>
    <hyperlink ref="P73" r:id="rId35" display="http://www.bav-astro.de/sfs/BAVM_link.php?BAVMnr=225" xr:uid="{00000000-0004-0000-0200-000022000000}"/>
    <hyperlink ref="P37" r:id="rId36" display="http://var.astro.cz/oejv/issues/oejv0160.pdf" xr:uid="{00000000-0004-0000-0200-000023000000}"/>
    <hyperlink ref="P38" r:id="rId37" display="http://var.astro.cz/oejv/issues/oejv0160.pdf" xr:uid="{00000000-0004-0000-0200-000024000000}"/>
    <hyperlink ref="P39" r:id="rId38" display="http://var.astro.cz/oejv/issues/oejv0160.pdf" xr:uid="{00000000-0004-0000-0200-000025000000}"/>
    <hyperlink ref="P40" r:id="rId39" display="http://www.konkoly.hu/cgi-bin/IBVS?6029" xr:uid="{00000000-0004-0000-0200-000026000000}"/>
    <hyperlink ref="P41" r:id="rId40" display="http://var.astro.cz/oejv/issues/oejv0160.pdf" xr:uid="{00000000-0004-0000-0200-000027000000}"/>
    <hyperlink ref="P42" r:id="rId41" display="http://var.astro.cz/oejv/issues/oejv0160.pdf" xr:uid="{00000000-0004-0000-0200-000028000000}"/>
    <hyperlink ref="P43" r:id="rId42" display="http://var.astro.cz/oejv/issues/oejv0160.pdf" xr:uid="{00000000-0004-0000-0200-00002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2023-08-06T08:34:41Z</dcterms:modified>
</cp:coreProperties>
</file>