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ED209BF2-3F3D-43C7-9849-1D4FAE0737A5}" xr6:coauthVersionLast="47" xr6:coauthVersionMax="47" xr10:uidLastSave="{00000000-0000-0000-0000-000000000000}"/>
  <bookViews>
    <workbookView xWindow="14610" yWindow="495" windowWidth="13995" windowHeight="1431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49" i="1" l="1"/>
  <c r="F49" i="1" s="1"/>
  <c r="G49" i="1" s="1"/>
  <c r="K49" i="1" s="1"/>
  <c r="Q49" i="1"/>
  <c r="Q41" i="1"/>
  <c r="Q43" i="1"/>
  <c r="Q44" i="1"/>
  <c r="Q45" i="1"/>
  <c r="Q46" i="1"/>
  <c r="Q47" i="1"/>
  <c r="Q48" i="1"/>
  <c r="Q42" i="1"/>
  <c r="D9" i="1"/>
  <c r="C9" i="1"/>
  <c r="Q38" i="1"/>
  <c r="Q37" i="1"/>
  <c r="Q36" i="1"/>
  <c r="Q35" i="1"/>
  <c r="Q33" i="1"/>
  <c r="Q32" i="1"/>
  <c r="Q30" i="1"/>
  <c r="Q27" i="1"/>
  <c r="Q26" i="1"/>
  <c r="Q25" i="1"/>
  <c r="Q24" i="1"/>
  <c r="Q23" i="1"/>
  <c r="Q22" i="1"/>
  <c r="Q21" i="1"/>
  <c r="G28" i="2"/>
  <c r="C28" i="2"/>
  <c r="G13" i="2"/>
  <c r="C13" i="2"/>
  <c r="G12" i="2"/>
  <c r="C12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11" i="2"/>
  <c r="C11" i="2"/>
  <c r="G20" i="2"/>
  <c r="C20" i="2"/>
  <c r="G19" i="2"/>
  <c r="C19" i="2"/>
  <c r="E19" i="2"/>
  <c r="G18" i="2"/>
  <c r="C18" i="2"/>
  <c r="G17" i="2"/>
  <c r="C17" i="2"/>
  <c r="G16" i="2"/>
  <c r="C16" i="2"/>
  <c r="E16" i="2"/>
  <c r="G15" i="2"/>
  <c r="C15" i="2"/>
  <c r="E15" i="2"/>
  <c r="G14" i="2"/>
  <c r="C14" i="2"/>
  <c r="H28" i="2"/>
  <c r="B28" i="2"/>
  <c r="D28" i="2"/>
  <c r="A28" i="2"/>
  <c r="H13" i="2"/>
  <c r="B13" i="2"/>
  <c r="D13" i="2"/>
  <c r="A13" i="2"/>
  <c r="H12" i="2"/>
  <c r="B12" i="2"/>
  <c r="D12" i="2"/>
  <c r="A12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11" i="2"/>
  <c r="B11" i="2"/>
  <c r="D11" i="2"/>
  <c r="A1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Q40" i="1"/>
  <c r="Q39" i="1"/>
  <c r="C7" i="1"/>
  <c r="E41" i="1"/>
  <c r="F41" i="1"/>
  <c r="C8" i="1"/>
  <c r="F16" i="1"/>
  <c r="F17" i="1" s="1"/>
  <c r="C17" i="1"/>
  <c r="Q31" i="1"/>
  <c r="Q28" i="1"/>
  <c r="Q34" i="1"/>
  <c r="D34" i="1"/>
  <c r="D28" i="1"/>
  <c r="Q29" i="1"/>
  <c r="E23" i="1"/>
  <c r="E22" i="1"/>
  <c r="F22" i="1"/>
  <c r="G22" i="1"/>
  <c r="I22" i="1"/>
  <c r="E26" i="1"/>
  <c r="F26" i="1"/>
  <c r="F23" i="1"/>
  <c r="G23" i="1"/>
  <c r="I23" i="1"/>
  <c r="E12" i="2"/>
  <c r="E23" i="2"/>
  <c r="E24" i="2"/>
  <c r="E18" i="2"/>
  <c r="E27" i="2"/>
  <c r="E11" i="2"/>
  <c r="E47" i="1"/>
  <c r="F47" i="1"/>
  <c r="G39" i="1"/>
  <c r="K39" i="1"/>
  <c r="E37" i="1"/>
  <c r="F37" i="1"/>
  <c r="G37" i="1"/>
  <c r="K37" i="1"/>
  <c r="G31" i="1"/>
  <c r="K31" i="1"/>
  <c r="E29" i="1"/>
  <c r="F29" i="1"/>
  <c r="E27" i="1"/>
  <c r="F27" i="1"/>
  <c r="G27" i="1"/>
  <c r="I27" i="1"/>
  <c r="E21" i="1"/>
  <c r="F21" i="1"/>
  <c r="G21" i="1"/>
  <c r="I21" i="1"/>
  <c r="E24" i="1"/>
  <c r="F24" i="1"/>
  <c r="G24" i="1"/>
  <c r="I24" i="1"/>
  <c r="G46" i="1"/>
  <c r="K46" i="1"/>
  <c r="E44" i="1"/>
  <c r="F44" i="1"/>
  <c r="E34" i="1"/>
  <c r="F34" i="1"/>
  <c r="G43" i="1"/>
  <c r="K43" i="1"/>
  <c r="G42" i="1"/>
  <c r="K42" i="1"/>
  <c r="E39" i="1"/>
  <c r="F39" i="1"/>
  <c r="G33" i="1"/>
  <c r="K33" i="1"/>
  <c r="E31" i="1"/>
  <c r="F31" i="1"/>
  <c r="E46" i="1"/>
  <c r="F46" i="1"/>
  <c r="E36" i="1"/>
  <c r="F36" i="1"/>
  <c r="G36" i="1"/>
  <c r="K36" i="1"/>
  <c r="E43" i="1"/>
  <c r="F43" i="1"/>
  <c r="E42" i="1"/>
  <c r="F42" i="1"/>
  <c r="G35" i="1"/>
  <c r="K35" i="1"/>
  <c r="E33" i="1"/>
  <c r="F33" i="1"/>
  <c r="E25" i="1"/>
  <c r="F25" i="1"/>
  <c r="G25" i="1"/>
  <c r="I25" i="1"/>
  <c r="E28" i="1"/>
  <c r="F28" i="1"/>
  <c r="G28" i="1"/>
  <c r="I28" i="1"/>
  <c r="E48" i="1"/>
  <c r="F48" i="1"/>
  <c r="G48" i="1"/>
  <c r="K48" i="1"/>
  <c r="G40" i="1"/>
  <c r="K40" i="1"/>
  <c r="E38" i="1"/>
  <c r="F38" i="1"/>
  <c r="G38" i="1"/>
  <c r="K38" i="1"/>
  <c r="E30" i="1"/>
  <c r="F30" i="1"/>
  <c r="G30" i="1"/>
  <c r="K30" i="1"/>
  <c r="G41" i="1"/>
  <c r="K41" i="1"/>
  <c r="G26" i="1"/>
  <c r="I26" i="1"/>
  <c r="G47" i="1"/>
  <c r="K47" i="1"/>
  <c r="E45" i="1"/>
  <c r="F45" i="1"/>
  <c r="G45" i="1"/>
  <c r="K45" i="1"/>
  <c r="E35" i="1"/>
  <c r="F35" i="1"/>
  <c r="G29" i="1"/>
  <c r="G44" i="1"/>
  <c r="K44" i="1"/>
  <c r="E40" i="1"/>
  <c r="F40" i="1"/>
  <c r="G34" i="1"/>
  <c r="I34" i="1"/>
  <c r="E32" i="1"/>
  <c r="F32" i="1"/>
  <c r="G32" i="1"/>
  <c r="K32" i="1"/>
  <c r="I29" i="1"/>
  <c r="E14" i="2"/>
  <c r="E25" i="2"/>
  <c r="E17" i="2"/>
  <c r="E28" i="2"/>
  <c r="E20" i="2"/>
  <c r="E22" i="2"/>
  <c r="E26" i="2"/>
  <c r="E13" i="2"/>
  <c r="E21" i="2"/>
  <c r="C12" i="1"/>
  <c r="C11" i="1"/>
  <c r="O49" i="1" l="1"/>
  <c r="O43" i="1"/>
  <c r="C15" i="1"/>
  <c r="O44" i="1"/>
  <c r="O48" i="1"/>
  <c r="O42" i="1"/>
  <c r="O32" i="1"/>
  <c r="O35" i="1"/>
  <c r="O39" i="1"/>
  <c r="O40" i="1"/>
  <c r="O41" i="1"/>
  <c r="O36" i="1"/>
  <c r="O45" i="1"/>
  <c r="O47" i="1"/>
  <c r="O34" i="1"/>
  <c r="O28" i="1"/>
  <c r="O33" i="1"/>
  <c r="O37" i="1"/>
  <c r="O29" i="1"/>
  <c r="O38" i="1"/>
  <c r="O46" i="1"/>
  <c r="O30" i="1"/>
  <c r="O31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<sst xmlns="http://schemas.openxmlformats.org/spreadsheetml/2006/main" count="272" uniqueCount="139">
  <si>
    <t>Vc</t>
  </si>
  <si>
    <t>VSB-063</t>
  </si>
  <si>
    <t>VSB-059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</si>
  <si>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</si>
  <si>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</si>
  <si>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</si>
  <si>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</si>
  <si>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</si>
  <si>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</si>
  <si>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</si>
  <si>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</si>
  <si>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</si>
  <si>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</si>
  <si>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</si>
  <si>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</si>
  <si>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</si>
  <si>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</si>
  <si>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</si>
  <si>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</si>
  <si>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</si>
  <si>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</si>
  <si>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</si>
  <si>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</si>
  <si>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</si>
  <si>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</si>
  <si>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</si>
  <si>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</si>
  <si>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</si>
  <si>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</si>
  <si>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</si>
  <si>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</si>
  <si>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</si>
  <si>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</si>
  <si>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</si>
  <si>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</si>
  <si>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</si>
  <si>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</t>
  </si>
  <si>
    <t>Kreiner</t>
  </si>
  <si>
    <t>Kreiner Eph.</t>
  </si>
  <si>
    <t>BQ Eri / GSC 4763-1526</t>
  </si>
  <si>
    <t>EB/DM</t>
  </si>
  <si>
    <t>IBVS 5806</t>
  </si>
  <si>
    <t>OEJV 0073</t>
  </si>
  <si>
    <t>Add cycle</t>
  </si>
  <si>
    <t>Old Cycle</t>
  </si>
  <si>
    <t>IBVS 6029</t>
  </si>
  <si>
    <t>IBVS 6063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</si>
  <si>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</si>
  <si>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</si>
  <si>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</si>
  <si>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</si>
  <si>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</si>
  <si>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</si>
  <si>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</si>
  <si>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</si>
  <si>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</si>
  <si>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</si>
  <si>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</si>
  <si>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2426984.14 </t>
  </si>
  <si>
    <t> 03.10.1932 15:21 </t>
  </si>
  <si>
    <t> -0.04 </t>
  </si>
  <si>
    <t>V </t>
  </si>
  <si>
    <t> W.Zessewitsch </t>
  </si>
  <si>
    <t> IODE 4.2.47 </t>
  </si>
  <si>
    <t>2427385.223 </t>
  </si>
  <si>
    <t> 08.11.1933 17:21 </t>
  </si>
  <si>
    <t> 0.013 </t>
  </si>
  <si>
    <t>2431156.14 </t>
  </si>
  <si>
    <t> 06.03.1944 15:21 </t>
  </si>
  <si>
    <t> 0.06 </t>
  </si>
  <si>
    <t>2431158.22 </t>
  </si>
  <si>
    <t> 08.03.1944 17:16 </t>
  </si>
  <si>
    <t> 0.00 </t>
  </si>
  <si>
    <t>2431163.20 </t>
  </si>
  <si>
    <t> 13.03.1944 16:48 </t>
  </si>
  <si>
    <t> -0.02 </t>
  </si>
  <si>
    <t>2431181.12 </t>
  </si>
  <si>
    <t> 31.03.1944 14:52 </t>
  </si>
  <si>
    <t> 0.02 </t>
  </si>
  <si>
    <t>2431186.12 </t>
  </si>
  <si>
    <t> 05.04.1944 14:52 </t>
  </si>
  <si>
    <t>2450480.460 </t>
  </si>
  <si>
    <t> 31.01.1997 23:02 </t>
  </si>
  <si>
    <t> 13.980 </t>
  </si>
  <si>
    <t>C </t>
  </si>
  <si>
    <t>o</t>
  </si>
  <si>
    <t> A.Paschke </t>
  </si>
  <si>
    <t>OEJV 0073 </t>
  </si>
  <si>
    <t>2452996.9974 </t>
  </si>
  <si>
    <t> 23.12.2003 11:56 </t>
  </si>
  <si>
    <t> 14.2240 </t>
  </si>
  <si>
    <t>E </t>
  </si>
  <si>
    <t>?</t>
  </si>
  <si>
    <t> Nagai </t>
  </si>
  <si>
    <t>VSB 42 </t>
  </si>
  <si>
    <t>2454056.8743 </t>
  </si>
  <si>
    <t> 17.11.2006 08:58 </t>
  </si>
  <si>
    <t> 13.9695 </t>
  </si>
  <si>
    <t> T.Krajci </t>
  </si>
  <si>
    <t>IBVS 5806 </t>
  </si>
  <si>
    <t>2454067.575 </t>
  </si>
  <si>
    <t> 28.11.2006 01:48 </t>
  </si>
  <si>
    <t> 13.947 </t>
  </si>
  <si>
    <t>2454425.1174 </t>
  </si>
  <si>
    <t> 20.11.2007 14:49 </t>
  </si>
  <si>
    <t> 14.0617 </t>
  </si>
  <si>
    <t>Ic</t>
  </si>
  <si>
    <t> K.Nakajima </t>
  </si>
  <si>
    <t>VSB 46 </t>
  </si>
  <si>
    <t>2454792.1371 </t>
  </si>
  <si>
    <t> 21.11.2008 15:17 </t>
  </si>
  <si>
    <t> 13.6454 </t>
  </si>
  <si>
    <t>Rc</t>
  </si>
  <si>
    <t> K.Nagai </t>
  </si>
  <si>
    <t>VSB 48 </t>
  </si>
  <si>
    <t>2454820.0979 </t>
  </si>
  <si>
    <t> 19.12.2008 14:20 </t>
  </si>
  <si>
    <t> 14.4417 </t>
  </si>
  <si>
    <t>2454829.9508 </t>
  </si>
  <si>
    <t> 29.12.2008 10:49 </t>
  </si>
  <si>
    <t> 14.2866 </t>
  </si>
  <si>
    <t>2455945.7587 </t>
  </si>
  <si>
    <t> 19.01.2012 06:12 </t>
  </si>
  <si>
    <t> 14.2043 </t>
  </si>
  <si>
    <t> R.Diethelm </t>
  </si>
  <si>
    <t>IBVS 6029 </t>
  </si>
  <si>
    <t>2456315.6410 </t>
  </si>
  <si>
    <t> 23.01.2013 03:23 </t>
  </si>
  <si>
    <t> 14.5061 </t>
  </si>
  <si>
    <t>IBVS 6063 </t>
  </si>
  <si>
    <t>2456669.9102 </t>
  </si>
  <si>
    <t> 12.01.2014 09:50 </t>
  </si>
  <si>
    <t> 14.2067 </t>
  </si>
  <si>
    <t>VSB 59 </t>
  </si>
  <si>
    <t>II</t>
  </si>
  <si>
    <t>BAD?</t>
  </si>
  <si>
    <t>VSB-64</t>
  </si>
  <si>
    <t>B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</si>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</sst>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_);\(&quot;$&quot;#,##0\)"/>
    <numFmt numFmtId="176" formatCode="0.0000"/>
    <numFmt numFmtId="177" formatCode="0.00000"/>
  </numFmts>
  <fonts count="2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b/>
      <sz val="10"/>
      <color indexed="3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0">
    <xf numFmtId="0" fontId="0" fillId="0" borderId="0">
      <alignment vertical="top"/>
    </xf>
    <xf numFmtId="3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21" fillId="0" borderId="1" applyNumberFormat="0" applyFont="0" applyFill="0" applyAlignment="0" applyProtection="0"/>
  </cellStyleXfs>
  <cellXfs count="6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2" fillId="0" borderId="0" xfId="0" applyFont="1" applyAlignment="1"/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4" fillId="0" borderId="0" xfId="0" applyFont="1" applyAlignment="1">
      <alignment horizontal="left" wrapText="1"/>
    </xf>
    <xf numFmtId="0" fontId="14" fillId="0" borderId="0" xfId="0" applyFont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8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18" fillId="2" borderId="11" xfId="7" applyFill="1" applyBorder="1" applyAlignment="1" applyProtection="1">
      <alignment horizontal="right" vertical="top" wrapText="1"/>
    </xf>
    <xf numFmtId="0" fontId="19" fillId="0" borderId="0" xfId="0" applyFont="1" applyAlignment="1"/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20" fillId="0" borderId="2" xfId="0" applyFont="1" applyBorder="1" applyAlignment="1">
      <alignment horizontal="center"/>
    </xf>
    <xf numFmtId="0" fontId="22" fillId="0" borderId="0" xfId="0" applyFont="1" applyAlignment="1"/>
    <xf numFmtId="0" fontId="22" fillId="0" borderId="0" xfId="0" applyFont="1" applyBorder="1" applyAlignment="1">
      <alignment horizontal="center"/>
    </xf>
    <xf numFmtId="176" fontId="22" fillId="0" borderId="0" xfId="0" applyNumberFormat="1" applyFont="1" applyFill="1" applyBorder="1" applyAlignment="1" applyProtection="1">
      <alignment horizontal="left" vertical="top"/>
    </xf>
    <xf numFmtId="0" fontId="22" fillId="0" borderId="0" xfId="0" applyNumberFormat="1" applyFont="1" applyFill="1" applyBorder="1" applyAlignment="1" applyProtection="1">
      <alignment horizontal="left" vertical="top"/>
    </xf>
    <xf numFmtId="0" fontId="16" fillId="0" borderId="0" xfId="8" applyFont="1" applyAlignment="1">
      <alignment horizontal="left"/>
    </xf>
    <xf numFmtId="0" fontId="16" fillId="0" borderId="0" xfId="8" applyFont="1" applyAlignment="1">
      <alignment horizontal="center"/>
    </xf>
    <xf numFmtId="0" fontId="23" fillId="0" borderId="0" xfId="0" applyFont="1" applyAlignment="1" applyProtection="1">
      <alignment horizontal="left"/>
      <protection locked="0"/>
    </xf>
    <xf numFmtId="0" fontId="23" fillId="0" borderId="0" xfId="0" applyFont="1" applyAlignment="1" applyProtection="1">
      <alignment horizontal="center"/>
      <protection locked="0"/>
    </xf>
    <xf numFmtId="177" fontId="23" fillId="0" borderId="0" xfId="0" applyNumberFormat="1" applyFont="1" applyAlignment="1" applyProtection="1">
      <alignment vertical="center" wrapText="1"/>
      <protection locked="0"/>
    </xf>
  </cellXfs>
  <cellStyles count="10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Normal_A_1" xfId="8"/>
    <cellStyle name="Total" xfId="9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BQ Eri - O-C Diagr.</a:t>
            </a:r>
          </a:p>
        </c:rich>
      </c:tx>
      <c:layout>
        <c:manualLayout>
          <c:xMode val="edge"/>
          <c:yMode val="edge"/>
          <c:x val="0.3909774436090225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65413533834586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aCTIVE!$D$21:$D$221</c:f>
                <c:numCache>
                  <c:formatCode>General</c:formatCode>
                  <c:ptCount val="20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7.0000000000000001E-3</c:v>
                  </c:pt>
                  <c:pt idx="9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5.0000000000000001E-3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1E-3</c:v>
                  </c:pt>
                  <c:pt idx="19">
                    <c:v>8.9999999999999998E-4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</c:numCache>
              </c:numRef>
            </c:plus>
            <c:minus>
              <c:numRef>
                <c:f>aCTIVE!$D$21:$D$221</c:f>
                <c:numCache>
                  <c:formatCode>General</c:formatCode>
                  <c:ptCount val="20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7.0000000000000001E-3</c:v>
                  </c:pt>
                  <c:pt idx="9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5.0000000000000001E-3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1E-3</c:v>
                  </c:pt>
                  <c:pt idx="19">
                    <c:v>8.9999999999999998E-4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-31042</c:v>
                </c:pt>
                <c:pt idx="1">
                  <c:v>-30554</c:v>
                </c:pt>
                <c:pt idx="2">
                  <c:v>-25966.5</c:v>
                </c:pt>
                <c:pt idx="3">
                  <c:v>-25964</c:v>
                </c:pt>
                <c:pt idx="4">
                  <c:v>-25958</c:v>
                </c:pt>
                <c:pt idx="5">
                  <c:v>-25936</c:v>
                </c:pt>
                <c:pt idx="6">
                  <c:v>-25930</c:v>
                </c:pt>
                <c:pt idx="7">
                  <c:v>-2457</c:v>
                </c:pt>
                <c:pt idx="8">
                  <c:v>0</c:v>
                </c:pt>
                <c:pt idx="9">
                  <c:v>604.5</c:v>
                </c:pt>
                <c:pt idx="10">
                  <c:v>1894</c:v>
                </c:pt>
                <c:pt idx="11">
                  <c:v>1894</c:v>
                </c:pt>
                <c:pt idx="12">
                  <c:v>1907</c:v>
                </c:pt>
                <c:pt idx="13">
                  <c:v>1907</c:v>
                </c:pt>
                <c:pt idx="14">
                  <c:v>2342</c:v>
                </c:pt>
                <c:pt idx="15">
                  <c:v>2788.5</c:v>
                </c:pt>
                <c:pt idx="16">
                  <c:v>2822.5</c:v>
                </c:pt>
                <c:pt idx="17">
                  <c:v>2834.5</c:v>
                </c:pt>
                <c:pt idx="18">
                  <c:v>4192</c:v>
                </c:pt>
                <c:pt idx="19">
                  <c:v>4642</c:v>
                </c:pt>
                <c:pt idx="20">
                  <c:v>5073</c:v>
                </c:pt>
                <c:pt idx="21">
                  <c:v>5073</c:v>
                </c:pt>
                <c:pt idx="22">
                  <c:v>6361.5</c:v>
                </c:pt>
                <c:pt idx="23">
                  <c:v>6395.5</c:v>
                </c:pt>
                <c:pt idx="24">
                  <c:v>6404</c:v>
                </c:pt>
                <c:pt idx="25">
                  <c:v>6785</c:v>
                </c:pt>
                <c:pt idx="26">
                  <c:v>6785</c:v>
                </c:pt>
                <c:pt idx="27">
                  <c:v>6785</c:v>
                </c:pt>
                <c:pt idx="28">
                  <c:v>9032</c:v>
                </c:pt>
              </c:numCache>
            </c:numRef>
          </c:xVal>
          <c:yVal>
            <c:numRef>
              <c:f>aCTIVE!$H$21:$H$981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92B-4195-88D9-A8666DC862D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7.0000000000000001E-3</c:v>
                  </c:pt>
                  <c:pt idx="9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5.0000000000000001E-3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1E-3</c:v>
                  </c:pt>
                  <c:pt idx="19">
                    <c:v>8.9999999999999998E-4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7.0000000000000001E-3</c:v>
                  </c:pt>
                  <c:pt idx="9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5.0000000000000001E-3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1E-3</c:v>
                  </c:pt>
                  <c:pt idx="19">
                    <c:v>8.9999999999999998E-4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-31042</c:v>
                </c:pt>
                <c:pt idx="1">
                  <c:v>-30554</c:v>
                </c:pt>
                <c:pt idx="2">
                  <c:v>-25966.5</c:v>
                </c:pt>
                <c:pt idx="3">
                  <c:v>-25964</c:v>
                </c:pt>
                <c:pt idx="4">
                  <c:v>-25958</c:v>
                </c:pt>
                <c:pt idx="5">
                  <c:v>-25936</c:v>
                </c:pt>
                <c:pt idx="6">
                  <c:v>-25930</c:v>
                </c:pt>
                <c:pt idx="7">
                  <c:v>-2457</c:v>
                </c:pt>
                <c:pt idx="8">
                  <c:v>0</c:v>
                </c:pt>
                <c:pt idx="9">
                  <c:v>604.5</c:v>
                </c:pt>
                <c:pt idx="10">
                  <c:v>1894</c:v>
                </c:pt>
                <c:pt idx="11">
                  <c:v>1894</c:v>
                </c:pt>
                <c:pt idx="12">
                  <c:v>1907</c:v>
                </c:pt>
                <c:pt idx="13">
                  <c:v>1907</c:v>
                </c:pt>
                <c:pt idx="14">
                  <c:v>2342</c:v>
                </c:pt>
                <c:pt idx="15">
                  <c:v>2788.5</c:v>
                </c:pt>
                <c:pt idx="16">
                  <c:v>2822.5</c:v>
                </c:pt>
                <c:pt idx="17">
                  <c:v>2834.5</c:v>
                </c:pt>
                <c:pt idx="18">
                  <c:v>4192</c:v>
                </c:pt>
                <c:pt idx="19">
                  <c:v>4642</c:v>
                </c:pt>
                <c:pt idx="20">
                  <c:v>5073</c:v>
                </c:pt>
                <c:pt idx="21">
                  <c:v>5073</c:v>
                </c:pt>
                <c:pt idx="22">
                  <c:v>6361.5</c:v>
                </c:pt>
                <c:pt idx="23">
                  <c:v>6395.5</c:v>
                </c:pt>
                <c:pt idx="24">
                  <c:v>6404</c:v>
                </c:pt>
                <c:pt idx="25">
                  <c:v>6785</c:v>
                </c:pt>
                <c:pt idx="26">
                  <c:v>6785</c:v>
                </c:pt>
                <c:pt idx="27">
                  <c:v>6785</c:v>
                </c:pt>
                <c:pt idx="28">
                  <c:v>9032</c:v>
                </c:pt>
              </c:numCache>
            </c:numRef>
          </c:xVal>
          <c:yVal>
            <c:numRef>
              <c:f>aCTIVE!$I$21:$I$981</c:f>
              <c:numCache>
                <c:formatCode>General</c:formatCode>
                <c:ptCount val="961"/>
                <c:pt idx="0">
                  <c:v>1.7993599994952092E-2</c:v>
                </c:pt>
                <c:pt idx="1">
                  <c:v>-2.563680000093882E-2</c:v>
                </c:pt>
                <c:pt idx="2">
                  <c:v>5.4443199995148461E-2</c:v>
                </c:pt>
                <c:pt idx="3">
                  <c:v>7.9491199998301454E-2</c:v>
                </c:pt>
                <c:pt idx="4">
                  <c:v>0.12760639999760315</c:v>
                </c:pt>
                <c:pt idx="5">
                  <c:v>-3.5971200006315485E-2</c:v>
                </c:pt>
                <c:pt idx="6">
                  <c:v>3.2143999993422767E-2</c:v>
                </c:pt>
                <c:pt idx="7">
                  <c:v>1.6825599996082019E-2</c:v>
                </c:pt>
                <c:pt idx="8">
                  <c:v>0</c:v>
                </c:pt>
                <c:pt idx="13">
                  <c:v>7.6144001868669875E-3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92B-4195-88D9-A8666DC862D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7.0000000000000001E-3</c:v>
                  </c:pt>
                  <c:pt idx="9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5.0000000000000001E-3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1E-3</c:v>
                  </c:pt>
                  <c:pt idx="19">
                    <c:v>8.9999999999999998E-4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7.0000000000000001E-3</c:v>
                  </c:pt>
                  <c:pt idx="9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5.0000000000000001E-3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1E-3</c:v>
                  </c:pt>
                  <c:pt idx="19">
                    <c:v>8.9999999999999998E-4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-31042</c:v>
                </c:pt>
                <c:pt idx="1">
                  <c:v>-30554</c:v>
                </c:pt>
                <c:pt idx="2">
                  <c:v>-25966.5</c:v>
                </c:pt>
                <c:pt idx="3">
                  <c:v>-25964</c:v>
                </c:pt>
                <c:pt idx="4">
                  <c:v>-25958</c:v>
                </c:pt>
                <c:pt idx="5">
                  <c:v>-25936</c:v>
                </c:pt>
                <c:pt idx="6">
                  <c:v>-25930</c:v>
                </c:pt>
                <c:pt idx="7">
                  <c:v>-2457</c:v>
                </c:pt>
                <c:pt idx="8">
                  <c:v>0</c:v>
                </c:pt>
                <c:pt idx="9">
                  <c:v>604.5</c:v>
                </c:pt>
                <c:pt idx="10">
                  <c:v>1894</c:v>
                </c:pt>
                <c:pt idx="11">
                  <c:v>1894</c:v>
                </c:pt>
                <c:pt idx="12">
                  <c:v>1907</c:v>
                </c:pt>
                <c:pt idx="13">
                  <c:v>1907</c:v>
                </c:pt>
                <c:pt idx="14">
                  <c:v>2342</c:v>
                </c:pt>
                <c:pt idx="15">
                  <c:v>2788.5</c:v>
                </c:pt>
                <c:pt idx="16">
                  <c:v>2822.5</c:v>
                </c:pt>
                <c:pt idx="17">
                  <c:v>2834.5</c:v>
                </c:pt>
                <c:pt idx="18">
                  <c:v>4192</c:v>
                </c:pt>
                <c:pt idx="19">
                  <c:v>4642</c:v>
                </c:pt>
                <c:pt idx="20">
                  <c:v>5073</c:v>
                </c:pt>
                <c:pt idx="21">
                  <c:v>5073</c:v>
                </c:pt>
                <c:pt idx="22">
                  <c:v>6361.5</c:v>
                </c:pt>
                <c:pt idx="23">
                  <c:v>6395.5</c:v>
                </c:pt>
                <c:pt idx="24">
                  <c:v>6404</c:v>
                </c:pt>
                <c:pt idx="25">
                  <c:v>6785</c:v>
                </c:pt>
                <c:pt idx="26">
                  <c:v>6785</c:v>
                </c:pt>
                <c:pt idx="27">
                  <c:v>6785</c:v>
                </c:pt>
                <c:pt idx="28">
                  <c:v>9032</c:v>
                </c:pt>
              </c:numCache>
            </c:numRef>
          </c:xVal>
          <c:yVal>
            <c:numRef>
              <c:f>aCTIVE!$J$21:$J$981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92B-4195-88D9-A8666DC862D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7.0000000000000001E-3</c:v>
                  </c:pt>
                  <c:pt idx="9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5.0000000000000001E-3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1E-3</c:v>
                  </c:pt>
                  <c:pt idx="19">
                    <c:v>8.9999999999999998E-4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7.0000000000000001E-3</c:v>
                  </c:pt>
                  <c:pt idx="9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5.0000000000000001E-3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1E-3</c:v>
                  </c:pt>
                  <c:pt idx="19">
                    <c:v>8.9999999999999998E-4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-31042</c:v>
                </c:pt>
                <c:pt idx="1">
                  <c:v>-30554</c:v>
                </c:pt>
                <c:pt idx="2">
                  <c:v>-25966.5</c:v>
                </c:pt>
                <c:pt idx="3">
                  <c:v>-25964</c:v>
                </c:pt>
                <c:pt idx="4">
                  <c:v>-25958</c:v>
                </c:pt>
                <c:pt idx="5">
                  <c:v>-25936</c:v>
                </c:pt>
                <c:pt idx="6">
                  <c:v>-25930</c:v>
                </c:pt>
                <c:pt idx="7">
                  <c:v>-2457</c:v>
                </c:pt>
                <c:pt idx="8">
                  <c:v>0</c:v>
                </c:pt>
                <c:pt idx="9">
                  <c:v>604.5</c:v>
                </c:pt>
                <c:pt idx="10">
                  <c:v>1894</c:v>
                </c:pt>
                <c:pt idx="11">
                  <c:v>1894</c:v>
                </c:pt>
                <c:pt idx="12">
                  <c:v>1907</c:v>
                </c:pt>
                <c:pt idx="13">
                  <c:v>1907</c:v>
                </c:pt>
                <c:pt idx="14">
                  <c:v>2342</c:v>
                </c:pt>
                <c:pt idx="15">
                  <c:v>2788.5</c:v>
                </c:pt>
                <c:pt idx="16">
                  <c:v>2822.5</c:v>
                </c:pt>
                <c:pt idx="17">
                  <c:v>2834.5</c:v>
                </c:pt>
                <c:pt idx="18">
                  <c:v>4192</c:v>
                </c:pt>
                <c:pt idx="19">
                  <c:v>4642</c:v>
                </c:pt>
                <c:pt idx="20">
                  <c:v>5073</c:v>
                </c:pt>
                <c:pt idx="21">
                  <c:v>5073</c:v>
                </c:pt>
                <c:pt idx="22">
                  <c:v>6361.5</c:v>
                </c:pt>
                <c:pt idx="23">
                  <c:v>6395.5</c:v>
                </c:pt>
                <c:pt idx="24">
                  <c:v>6404</c:v>
                </c:pt>
                <c:pt idx="25">
                  <c:v>6785</c:v>
                </c:pt>
                <c:pt idx="26">
                  <c:v>6785</c:v>
                </c:pt>
                <c:pt idx="27">
                  <c:v>6785</c:v>
                </c:pt>
                <c:pt idx="28">
                  <c:v>9032</c:v>
                </c:pt>
              </c:numCache>
            </c:numRef>
          </c:xVal>
          <c:yVal>
            <c:numRef>
              <c:f>aCTIVE!$K$21:$K$981</c:f>
              <c:numCache>
                <c:formatCode>General</c:formatCode>
                <c:ptCount val="961"/>
                <c:pt idx="9">
                  <c:v>6.0006399995472748E-2</c:v>
                </c:pt>
                <c:pt idx="10">
                  <c:v>-7.3352002073079348E-3</c:v>
                </c:pt>
                <c:pt idx="11">
                  <c:v>-7.3351999963051639E-3</c:v>
                </c:pt>
                <c:pt idx="12">
                  <c:v>7.6143999976920895E-3</c:v>
                </c:pt>
                <c:pt idx="14">
                  <c:v>-1.1633599999186117E-2</c:v>
                </c:pt>
                <c:pt idx="15">
                  <c:v>-6.3608000054955482E-3</c:v>
                </c:pt>
                <c:pt idx="16">
                  <c:v>7.091999999829568E-3</c:v>
                </c:pt>
                <c:pt idx="17">
                  <c:v>-3.7776000026497059E-3</c:v>
                </c:pt>
                <c:pt idx="18">
                  <c:v>-3.481360000296263E-2</c:v>
                </c:pt>
                <c:pt idx="19">
                  <c:v>-4.3873599999642465E-2</c:v>
                </c:pt>
                <c:pt idx="20">
                  <c:v>-4.8398400191217661E-2</c:v>
                </c:pt>
                <c:pt idx="21">
                  <c:v>-4.8398400002042763E-2</c:v>
                </c:pt>
                <c:pt idx="22">
                  <c:v>-4.9759200002881698E-2</c:v>
                </c:pt>
                <c:pt idx="23">
                  <c:v>-6.0006400002748705E-2</c:v>
                </c:pt>
                <c:pt idx="24">
                  <c:v>-7.1843199999420904E-2</c:v>
                </c:pt>
                <c:pt idx="25">
                  <c:v>-7.3328000005858485E-2</c:v>
                </c:pt>
                <c:pt idx="26">
                  <c:v>-7.2428000006766524E-2</c:v>
                </c:pt>
                <c:pt idx="27">
                  <c:v>-7.0628000001306646E-2</c:v>
                </c:pt>
                <c:pt idx="28">
                  <c:v>-9.3585600174264982E-2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92B-4195-88D9-A8666DC862D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7.0000000000000001E-3</c:v>
                  </c:pt>
                  <c:pt idx="9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5.0000000000000001E-3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1E-3</c:v>
                  </c:pt>
                  <c:pt idx="19">
                    <c:v>8.9999999999999998E-4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7.0000000000000001E-3</c:v>
                  </c:pt>
                  <c:pt idx="9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5.0000000000000001E-3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1E-3</c:v>
                  </c:pt>
                  <c:pt idx="19">
                    <c:v>8.9999999999999998E-4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-31042</c:v>
                </c:pt>
                <c:pt idx="1">
                  <c:v>-30554</c:v>
                </c:pt>
                <c:pt idx="2">
                  <c:v>-25966.5</c:v>
                </c:pt>
                <c:pt idx="3">
                  <c:v>-25964</c:v>
                </c:pt>
                <c:pt idx="4">
                  <c:v>-25958</c:v>
                </c:pt>
                <c:pt idx="5">
                  <c:v>-25936</c:v>
                </c:pt>
                <c:pt idx="6">
                  <c:v>-25930</c:v>
                </c:pt>
                <c:pt idx="7">
                  <c:v>-2457</c:v>
                </c:pt>
                <c:pt idx="8">
                  <c:v>0</c:v>
                </c:pt>
                <c:pt idx="9">
                  <c:v>604.5</c:v>
                </c:pt>
                <c:pt idx="10">
                  <c:v>1894</c:v>
                </c:pt>
                <c:pt idx="11">
                  <c:v>1894</c:v>
                </c:pt>
                <c:pt idx="12">
                  <c:v>1907</c:v>
                </c:pt>
                <c:pt idx="13">
                  <c:v>1907</c:v>
                </c:pt>
                <c:pt idx="14">
                  <c:v>2342</c:v>
                </c:pt>
                <c:pt idx="15">
                  <c:v>2788.5</c:v>
                </c:pt>
                <c:pt idx="16">
                  <c:v>2822.5</c:v>
                </c:pt>
                <c:pt idx="17">
                  <c:v>2834.5</c:v>
                </c:pt>
                <c:pt idx="18">
                  <c:v>4192</c:v>
                </c:pt>
                <c:pt idx="19">
                  <c:v>4642</c:v>
                </c:pt>
                <c:pt idx="20">
                  <c:v>5073</c:v>
                </c:pt>
                <c:pt idx="21">
                  <c:v>5073</c:v>
                </c:pt>
                <c:pt idx="22">
                  <c:v>6361.5</c:v>
                </c:pt>
                <c:pt idx="23">
                  <c:v>6395.5</c:v>
                </c:pt>
                <c:pt idx="24">
                  <c:v>6404</c:v>
                </c:pt>
                <c:pt idx="25">
                  <c:v>6785</c:v>
                </c:pt>
                <c:pt idx="26">
                  <c:v>6785</c:v>
                </c:pt>
                <c:pt idx="27">
                  <c:v>6785</c:v>
                </c:pt>
                <c:pt idx="28">
                  <c:v>9032</c:v>
                </c:pt>
              </c:numCache>
            </c:numRef>
          </c:xVal>
          <c:yVal>
            <c:numRef>
              <c:f>aCTIVE!$L$21:$L$981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92B-4195-88D9-A8666DC862D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7.0000000000000001E-3</c:v>
                  </c:pt>
                  <c:pt idx="9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5.0000000000000001E-3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1E-3</c:v>
                  </c:pt>
                  <c:pt idx="19">
                    <c:v>8.9999999999999998E-4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7.0000000000000001E-3</c:v>
                  </c:pt>
                  <c:pt idx="9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5.0000000000000001E-3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1E-3</c:v>
                  </c:pt>
                  <c:pt idx="19">
                    <c:v>8.9999999999999998E-4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-31042</c:v>
                </c:pt>
                <c:pt idx="1">
                  <c:v>-30554</c:v>
                </c:pt>
                <c:pt idx="2">
                  <c:v>-25966.5</c:v>
                </c:pt>
                <c:pt idx="3">
                  <c:v>-25964</c:v>
                </c:pt>
                <c:pt idx="4">
                  <c:v>-25958</c:v>
                </c:pt>
                <c:pt idx="5">
                  <c:v>-25936</c:v>
                </c:pt>
                <c:pt idx="6">
                  <c:v>-25930</c:v>
                </c:pt>
                <c:pt idx="7">
                  <c:v>-2457</c:v>
                </c:pt>
                <c:pt idx="8">
                  <c:v>0</c:v>
                </c:pt>
                <c:pt idx="9">
                  <c:v>604.5</c:v>
                </c:pt>
                <c:pt idx="10">
                  <c:v>1894</c:v>
                </c:pt>
                <c:pt idx="11">
                  <c:v>1894</c:v>
                </c:pt>
                <c:pt idx="12">
                  <c:v>1907</c:v>
                </c:pt>
                <c:pt idx="13">
                  <c:v>1907</c:v>
                </c:pt>
                <c:pt idx="14">
                  <c:v>2342</c:v>
                </c:pt>
                <c:pt idx="15">
                  <c:v>2788.5</c:v>
                </c:pt>
                <c:pt idx="16">
                  <c:v>2822.5</c:v>
                </c:pt>
                <c:pt idx="17">
                  <c:v>2834.5</c:v>
                </c:pt>
                <c:pt idx="18">
                  <c:v>4192</c:v>
                </c:pt>
                <c:pt idx="19">
                  <c:v>4642</c:v>
                </c:pt>
                <c:pt idx="20">
                  <c:v>5073</c:v>
                </c:pt>
                <c:pt idx="21">
                  <c:v>5073</c:v>
                </c:pt>
                <c:pt idx="22">
                  <c:v>6361.5</c:v>
                </c:pt>
                <c:pt idx="23">
                  <c:v>6395.5</c:v>
                </c:pt>
                <c:pt idx="24">
                  <c:v>6404</c:v>
                </c:pt>
                <c:pt idx="25">
                  <c:v>6785</c:v>
                </c:pt>
                <c:pt idx="26">
                  <c:v>6785</c:v>
                </c:pt>
                <c:pt idx="27">
                  <c:v>6785</c:v>
                </c:pt>
                <c:pt idx="28">
                  <c:v>9032</c:v>
                </c:pt>
              </c:numCache>
            </c:numRef>
          </c:xVal>
          <c:yVal>
            <c:numRef>
              <c:f>aCTIVE!$M$21:$M$981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92B-4195-88D9-A8666DC862D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7.0000000000000001E-3</c:v>
                  </c:pt>
                  <c:pt idx="9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5.0000000000000001E-3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1E-3</c:v>
                  </c:pt>
                  <c:pt idx="19">
                    <c:v>8.9999999999999998E-4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7.0000000000000001E-3</c:v>
                  </c:pt>
                  <c:pt idx="9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5.0000000000000001E-3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1E-3</c:v>
                  </c:pt>
                  <c:pt idx="19">
                    <c:v>8.9999999999999998E-4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-31042</c:v>
                </c:pt>
                <c:pt idx="1">
                  <c:v>-30554</c:v>
                </c:pt>
                <c:pt idx="2">
                  <c:v>-25966.5</c:v>
                </c:pt>
                <c:pt idx="3">
                  <c:v>-25964</c:v>
                </c:pt>
                <c:pt idx="4">
                  <c:v>-25958</c:v>
                </c:pt>
                <c:pt idx="5">
                  <c:v>-25936</c:v>
                </c:pt>
                <c:pt idx="6">
                  <c:v>-25930</c:v>
                </c:pt>
                <c:pt idx="7">
                  <c:v>-2457</c:v>
                </c:pt>
                <c:pt idx="8">
                  <c:v>0</c:v>
                </c:pt>
                <c:pt idx="9">
                  <c:v>604.5</c:v>
                </c:pt>
                <c:pt idx="10">
                  <c:v>1894</c:v>
                </c:pt>
                <c:pt idx="11">
                  <c:v>1894</c:v>
                </c:pt>
                <c:pt idx="12">
                  <c:v>1907</c:v>
                </c:pt>
                <c:pt idx="13">
                  <c:v>1907</c:v>
                </c:pt>
                <c:pt idx="14">
                  <c:v>2342</c:v>
                </c:pt>
                <c:pt idx="15">
                  <c:v>2788.5</c:v>
                </c:pt>
                <c:pt idx="16">
                  <c:v>2822.5</c:v>
                </c:pt>
                <c:pt idx="17">
                  <c:v>2834.5</c:v>
                </c:pt>
                <c:pt idx="18">
                  <c:v>4192</c:v>
                </c:pt>
                <c:pt idx="19">
                  <c:v>4642</c:v>
                </c:pt>
                <c:pt idx="20">
                  <c:v>5073</c:v>
                </c:pt>
                <c:pt idx="21">
                  <c:v>5073</c:v>
                </c:pt>
                <c:pt idx="22">
                  <c:v>6361.5</c:v>
                </c:pt>
                <c:pt idx="23">
                  <c:v>6395.5</c:v>
                </c:pt>
                <c:pt idx="24">
                  <c:v>6404</c:v>
                </c:pt>
                <c:pt idx="25">
                  <c:v>6785</c:v>
                </c:pt>
                <c:pt idx="26">
                  <c:v>6785</c:v>
                </c:pt>
                <c:pt idx="27">
                  <c:v>6785</c:v>
                </c:pt>
                <c:pt idx="28">
                  <c:v>9032</c:v>
                </c:pt>
              </c:numCache>
            </c:numRef>
          </c:xVal>
          <c:yVal>
            <c:numRef>
              <c:f>aCTIVE!$N$21:$N$981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92B-4195-88D9-A8666DC862D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aCTIVE!$F$21:$F$981</c:f>
              <c:numCache>
                <c:formatCode>General</c:formatCode>
                <c:ptCount val="961"/>
                <c:pt idx="0">
                  <c:v>-31042</c:v>
                </c:pt>
                <c:pt idx="1">
                  <c:v>-30554</c:v>
                </c:pt>
                <c:pt idx="2">
                  <c:v>-25966.5</c:v>
                </c:pt>
                <c:pt idx="3">
                  <c:v>-25964</c:v>
                </c:pt>
                <c:pt idx="4">
                  <c:v>-25958</c:v>
                </c:pt>
                <c:pt idx="5">
                  <c:v>-25936</c:v>
                </c:pt>
                <c:pt idx="6">
                  <c:v>-25930</c:v>
                </c:pt>
                <c:pt idx="7">
                  <c:v>-2457</c:v>
                </c:pt>
                <c:pt idx="8">
                  <c:v>0</c:v>
                </c:pt>
                <c:pt idx="9">
                  <c:v>604.5</c:v>
                </c:pt>
                <c:pt idx="10">
                  <c:v>1894</c:v>
                </c:pt>
                <c:pt idx="11">
                  <c:v>1894</c:v>
                </c:pt>
                <c:pt idx="12">
                  <c:v>1907</c:v>
                </c:pt>
                <c:pt idx="13">
                  <c:v>1907</c:v>
                </c:pt>
                <c:pt idx="14">
                  <c:v>2342</c:v>
                </c:pt>
                <c:pt idx="15">
                  <c:v>2788.5</c:v>
                </c:pt>
                <c:pt idx="16">
                  <c:v>2822.5</c:v>
                </c:pt>
                <c:pt idx="17">
                  <c:v>2834.5</c:v>
                </c:pt>
                <c:pt idx="18">
                  <c:v>4192</c:v>
                </c:pt>
                <c:pt idx="19">
                  <c:v>4642</c:v>
                </c:pt>
                <c:pt idx="20">
                  <c:v>5073</c:v>
                </c:pt>
                <c:pt idx="21">
                  <c:v>5073</c:v>
                </c:pt>
                <c:pt idx="22">
                  <c:v>6361.5</c:v>
                </c:pt>
                <c:pt idx="23">
                  <c:v>6395.5</c:v>
                </c:pt>
                <c:pt idx="24">
                  <c:v>6404</c:v>
                </c:pt>
                <c:pt idx="25">
                  <c:v>6785</c:v>
                </c:pt>
                <c:pt idx="26">
                  <c:v>6785</c:v>
                </c:pt>
                <c:pt idx="27">
                  <c:v>6785</c:v>
                </c:pt>
                <c:pt idx="28">
                  <c:v>9032</c:v>
                </c:pt>
              </c:numCache>
            </c:numRef>
          </c:xVal>
          <c:yVal>
            <c:numRef>
              <c:f>aCTIVE!$O$21:$O$981</c:f>
              <c:numCache>
                <c:formatCode>General</c:formatCode>
                <c:ptCount val="961"/>
                <c:pt idx="7">
                  <c:v>6.6313336893892433E-2</c:v>
                </c:pt>
                <c:pt idx="8">
                  <c:v>3.0490585440822327E-2</c:v>
                </c:pt>
                <c:pt idx="9">
                  <c:v>2.1677051353162221E-2</c:v>
                </c:pt>
                <c:pt idx="10">
                  <c:v>2.8763032869294526E-3</c:v>
                </c:pt>
                <c:pt idx="11">
                  <c:v>2.8763032869294526E-3</c:v>
                </c:pt>
                <c:pt idx="12">
                  <c:v>2.68676491945289E-3</c:v>
                </c:pt>
                <c:pt idx="13">
                  <c:v>2.68676491945289E-3</c:v>
                </c:pt>
                <c:pt idx="14">
                  <c:v>-3.6554804538012804E-3</c:v>
                </c:pt>
                <c:pt idx="15">
                  <c:v>-1.0165394382900105E-2</c:v>
                </c:pt>
                <c:pt idx="16">
                  <c:v>-1.0661110113223415E-2</c:v>
                </c:pt>
                <c:pt idx="17">
                  <c:v>-1.0836068606278702E-2</c:v>
                </c:pt>
                <c:pt idx="18">
                  <c:v>-3.0628248133158103E-2</c:v>
                </c:pt>
                <c:pt idx="19">
                  <c:v>-3.7189191622731391E-2</c:v>
                </c:pt>
                <c:pt idx="20">
                  <c:v>-4.3473117498300462E-2</c:v>
                </c:pt>
                <c:pt idx="21">
                  <c:v>-4.3473117498300462E-2</c:v>
                </c:pt>
                <c:pt idx="22">
                  <c:v>-6.2259285690111951E-2</c:v>
                </c:pt>
                <c:pt idx="23">
                  <c:v>-6.2755001420435275E-2</c:v>
                </c:pt>
                <c:pt idx="24">
                  <c:v>-6.2878930353016102E-2</c:v>
                </c:pt>
                <c:pt idx="25">
                  <c:v>-6.8433862507521467E-2</c:v>
                </c:pt>
                <c:pt idx="26">
                  <c:v>-6.8433862507521467E-2</c:v>
                </c:pt>
                <c:pt idx="27">
                  <c:v>-6.8433862507521467E-2</c:v>
                </c:pt>
                <c:pt idx="28">
                  <c:v>-0.10119484033212404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92B-4195-88D9-A8666DC862D3}"/>
            </c:ext>
          </c:extLst>
        </c:ser>
        <c:ser>
          <c:idx val="8"/>
          <c:order val="8"/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-31042</c:v>
                </c:pt>
                <c:pt idx="1">
                  <c:v>-30554</c:v>
                </c:pt>
                <c:pt idx="2">
                  <c:v>-25966.5</c:v>
                </c:pt>
                <c:pt idx="3">
                  <c:v>-25964</c:v>
                </c:pt>
                <c:pt idx="4">
                  <c:v>-25958</c:v>
                </c:pt>
                <c:pt idx="5">
                  <c:v>-25936</c:v>
                </c:pt>
                <c:pt idx="6">
                  <c:v>-25930</c:v>
                </c:pt>
                <c:pt idx="7">
                  <c:v>-2457</c:v>
                </c:pt>
                <c:pt idx="8">
                  <c:v>0</c:v>
                </c:pt>
                <c:pt idx="9">
                  <c:v>604.5</c:v>
                </c:pt>
                <c:pt idx="10">
                  <c:v>1894</c:v>
                </c:pt>
                <c:pt idx="11">
                  <c:v>1894</c:v>
                </c:pt>
                <c:pt idx="12">
                  <c:v>1907</c:v>
                </c:pt>
                <c:pt idx="13">
                  <c:v>1907</c:v>
                </c:pt>
                <c:pt idx="14">
                  <c:v>2342</c:v>
                </c:pt>
                <c:pt idx="15">
                  <c:v>2788.5</c:v>
                </c:pt>
                <c:pt idx="16">
                  <c:v>2822.5</c:v>
                </c:pt>
                <c:pt idx="17">
                  <c:v>2834.5</c:v>
                </c:pt>
                <c:pt idx="18">
                  <c:v>4192</c:v>
                </c:pt>
                <c:pt idx="19">
                  <c:v>4642</c:v>
                </c:pt>
                <c:pt idx="20">
                  <c:v>5073</c:v>
                </c:pt>
                <c:pt idx="21">
                  <c:v>5073</c:v>
                </c:pt>
                <c:pt idx="22">
                  <c:v>6361.5</c:v>
                </c:pt>
                <c:pt idx="23">
                  <c:v>6395.5</c:v>
                </c:pt>
                <c:pt idx="24">
                  <c:v>6404</c:v>
                </c:pt>
                <c:pt idx="25">
                  <c:v>6785</c:v>
                </c:pt>
                <c:pt idx="26">
                  <c:v>6785</c:v>
                </c:pt>
                <c:pt idx="27">
                  <c:v>6785</c:v>
                </c:pt>
                <c:pt idx="28">
                  <c:v>9032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92B-4195-88D9-A8666DC862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4825800"/>
        <c:axId val="1"/>
      </c:scatterChart>
      <c:valAx>
        <c:axId val="6248258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451127819549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48258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548872180451127"/>
          <c:y val="0.92397937099967764"/>
          <c:w val="0.73684210526315785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17</xdr:col>
      <xdr:colOff>161925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2D86DB07-1321-F3A4-7F08-E8471D12E9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no48.pdf" TargetMode="External"/><Relationship Id="rId3" Type="http://schemas.openxmlformats.org/officeDocument/2006/relationships/hyperlink" Target="http://www.konkoly.hu/cgi-bin/IBVS?5806" TargetMode="External"/><Relationship Id="rId7" Type="http://schemas.openxmlformats.org/officeDocument/2006/relationships/hyperlink" Target="http://vsolj.cetus-net.org/no48.pdf" TargetMode="External"/><Relationship Id="rId2" Type="http://schemas.openxmlformats.org/officeDocument/2006/relationships/hyperlink" Target="http://vsolj.cetus-net.org/no42.pdf" TargetMode="External"/><Relationship Id="rId1" Type="http://schemas.openxmlformats.org/officeDocument/2006/relationships/hyperlink" Target="http://var.astro.cz/oejv/issues/oejv0073.pdf" TargetMode="External"/><Relationship Id="rId6" Type="http://schemas.openxmlformats.org/officeDocument/2006/relationships/hyperlink" Target="http://vsolj.cetus-net.org/no48.pdf" TargetMode="External"/><Relationship Id="rId11" Type="http://schemas.openxmlformats.org/officeDocument/2006/relationships/hyperlink" Target="http://vsolj.cetus-net.org/vsoljno59.pdf" TargetMode="External"/><Relationship Id="rId5" Type="http://schemas.openxmlformats.org/officeDocument/2006/relationships/hyperlink" Target="http://vsolj.cetus-net.org/no46.pdf" TargetMode="External"/><Relationship Id="rId10" Type="http://schemas.openxmlformats.org/officeDocument/2006/relationships/hyperlink" Target="http://www.konkoly.hu/cgi-bin/IBVS?6063" TargetMode="External"/><Relationship Id="rId4" Type="http://schemas.openxmlformats.org/officeDocument/2006/relationships/hyperlink" Target="http://var.astro.cz/oejv/issues/oejv0073.pdf" TargetMode="External"/><Relationship Id="rId9" Type="http://schemas.openxmlformats.org/officeDocument/2006/relationships/hyperlink" Target="http://www.konkoly.hu/cgi-bin/IBVS?60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22"/>
  <sheetViews>
    <sheetView tabSelected="1" workbookViewId="0">
      <pane xSplit="14" ySplit="21" topLeftCell="O34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39</v>
      </c>
    </row>
    <row r="2" spans="1:6" x14ac:dyDescent="0.2">
      <c r="A2" t="s">
        <v>25</v>
      </c>
      <c r="B2" t="s">
        <v>40</v>
      </c>
      <c r="C2" s="3"/>
      <c r="D2" s="3"/>
    </row>
    <row r="3" spans="1:6" ht="13.5" thickBot="1" x14ac:dyDescent="0.25"/>
    <row r="4" spans="1:6" ht="14.25" thickTop="1" thickBot="1" x14ac:dyDescent="0.25">
      <c r="A4" s="5" t="s">
        <v>38</v>
      </c>
      <c r="C4" s="8">
        <v>52500.05</v>
      </c>
      <c r="D4" s="9">
        <v>0.82198079999999996</v>
      </c>
    </row>
    <row r="5" spans="1:6" ht="13.5" thickTop="1" x14ac:dyDescent="0.2">
      <c r="A5" s="11" t="s">
        <v>30</v>
      </c>
      <c r="B5" s="12"/>
      <c r="C5" s="13">
        <v>-9.5</v>
      </c>
      <c r="D5" s="12" t="s">
        <v>31</v>
      </c>
    </row>
    <row r="6" spans="1:6" x14ac:dyDescent="0.2">
      <c r="A6" s="5" t="s">
        <v>3</v>
      </c>
    </row>
    <row r="7" spans="1:6" x14ac:dyDescent="0.2">
      <c r="A7" t="s">
        <v>4</v>
      </c>
      <c r="C7">
        <f>C4</f>
        <v>52500.05</v>
      </c>
    </row>
    <row r="8" spans="1:6" x14ac:dyDescent="0.2">
      <c r="A8" t="s">
        <v>5</v>
      </c>
      <c r="C8">
        <f>D4</f>
        <v>0.82198079999999996</v>
      </c>
      <c r="D8" s="28"/>
    </row>
    <row r="9" spans="1:6" x14ac:dyDescent="0.2">
      <c r="A9" s="26" t="s">
        <v>35</v>
      </c>
      <c r="B9" s="27">
        <v>29</v>
      </c>
      <c r="C9" s="24" t="str">
        <f>"F"&amp;B9</f>
        <v>F29</v>
      </c>
      <c r="D9" s="25" t="str">
        <f>"G"&amp;B9</f>
        <v>G29</v>
      </c>
    </row>
    <row r="10" spans="1:6" ht="13.5" thickBot="1" x14ac:dyDescent="0.25">
      <c r="A10" s="12"/>
      <c r="B10" s="12"/>
      <c r="C10" s="4" t="s">
        <v>21</v>
      </c>
      <c r="D10" s="4" t="s">
        <v>22</v>
      </c>
      <c r="E10" s="12"/>
    </row>
    <row r="11" spans="1:6" x14ac:dyDescent="0.2">
      <c r="A11" s="12" t="s">
        <v>17</v>
      </c>
      <c r="B11" s="12"/>
      <c r="C11" s="23">
        <f ca="1">INTERCEPT(INDIRECT($D$9):G991,INDIRECT($C$9):F991)</f>
        <v>3.0490585440822327E-2</v>
      </c>
      <c r="D11" s="3"/>
      <c r="E11" s="12"/>
    </row>
    <row r="12" spans="1:6" x14ac:dyDescent="0.2">
      <c r="A12" s="12" t="s">
        <v>18</v>
      </c>
      <c r="B12" s="12"/>
      <c r="C12" s="23">
        <f ca="1">SLOPE(INDIRECT($D$9):G991,INDIRECT($C$9):F991)</f>
        <v>-1.4579874421273957E-5</v>
      </c>
      <c r="D12" s="3"/>
      <c r="E12" s="12"/>
    </row>
    <row r="13" spans="1:6" x14ac:dyDescent="0.2">
      <c r="A13" s="12" t="s">
        <v>20</v>
      </c>
      <c r="B13" s="12"/>
      <c r="C13" s="3" t="s">
        <v>15</v>
      </c>
    </row>
    <row r="14" spans="1:6" x14ac:dyDescent="0.2">
      <c r="A14" s="12"/>
      <c r="B14" s="12"/>
      <c r="C14" s="12"/>
    </row>
    <row r="15" spans="1:6" x14ac:dyDescent="0.2">
      <c r="A15" s="14" t="s">
        <v>19</v>
      </c>
      <c r="B15" s="12"/>
      <c r="C15" s="15">
        <f ca="1">(C7+C11)+(C8+C12)*INT(MAX(F21:F3532))</f>
        <v>59924.079390759674</v>
      </c>
      <c r="E15" s="16" t="s">
        <v>43</v>
      </c>
      <c r="F15" s="13">
        <v>1</v>
      </c>
    </row>
    <row r="16" spans="1:6" x14ac:dyDescent="0.2">
      <c r="A16" s="18" t="s">
        <v>6</v>
      </c>
      <c r="B16" s="12"/>
      <c r="C16" s="19">
        <f ca="1">+C8+C12</f>
        <v>0.82196622012557863</v>
      </c>
      <c r="E16" s="16" t="s">
        <v>32</v>
      </c>
      <c r="F16" s="17">
        <f ca="1">NOW()+15018.5+$C$5/24</f>
        <v>60177.75997511574</v>
      </c>
    </row>
    <row r="17" spans="1:21" ht="13.5" thickBot="1" x14ac:dyDescent="0.25">
      <c r="A17" s="16" t="s">
        <v>29</v>
      </c>
      <c r="B17" s="12"/>
      <c r="C17" s="12">
        <f>COUNT(C21:C2190)</f>
        <v>29</v>
      </c>
      <c r="E17" s="16" t="s">
        <v>44</v>
      </c>
      <c r="F17" s="17">
        <f ca="1">ROUND(2*(F16-$C$7)/$C$8,0)/2+F15</f>
        <v>9341.5</v>
      </c>
    </row>
    <row r="18" spans="1:21" ht="14.25" thickTop="1" thickBot="1" x14ac:dyDescent="0.25">
      <c r="A18" s="18" t="s">
        <v>7</v>
      </c>
      <c r="B18" s="12"/>
      <c r="C18" s="21">
        <f ca="1">+C15</f>
        <v>59924.079390759674</v>
      </c>
      <c r="D18" s="22">
        <f ca="1">+C16</f>
        <v>0.82196622012557863</v>
      </c>
      <c r="E18" s="16" t="s">
        <v>33</v>
      </c>
      <c r="F18" s="25">
        <f ca="1">ROUND(2*(F16-$C$15)/$C$16,0)/2+F15</f>
        <v>309.5</v>
      </c>
    </row>
    <row r="19" spans="1:21" ht="13.5" thickTop="1" x14ac:dyDescent="0.2">
      <c r="E19" s="16" t="s">
        <v>34</v>
      </c>
      <c r="F19" s="20">
        <f ca="1">+$C$15+$C$16*F18-15018.5-$C$5/24</f>
        <v>45160.373769221878</v>
      </c>
    </row>
    <row r="20" spans="1:21" ht="13.5" thickBot="1" x14ac:dyDescent="0.25">
      <c r="A20" s="4" t="s">
        <v>8</v>
      </c>
      <c r="B20" s="4" t="s">
        <v>9</v>
      </c>
      <c r="C20" s="4" t="s">
        <v>10</v>
      </c>
      <c r="D20" s="4" t="s">
        <v>14</v>
      </c>
      <c r="E20" s="4" t="s">
        <v>11</v>
      </c>
      <c r="F20" s="4" t="s">
        <v>12</v>
      </c>
      <c r="G20" s="4" t="s">
        <v>13</v>
      </c>
      <c r="H20" s="7" t="s">
        <v>54</v>
      </c>
      <c r="I20" s="7" t="s">
        <v>57</v>
      </c>
      <c r="J20" s="7" t="s">
        <v>51</v>
      </c>
      <c r="K20" s="7" t="s">
        <v>49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  <c r="U20" s="56" t="s">
        <v>135</v>
      </c>
    </row>
    <row r="21" spans="1:21" x14ac:dyDescent="0.2">
      <c r="A21" s="53" t="s">
        <v>63</v>
      </c>
      <c r="B21" s="55" t="s">
        <v>134</v>
      </c>
      <c r="C21" s="54">
        <v>26984.14</v>
      </c>
      <c r="D21" s="54" t="s">
        <v>57</v>
      </c>
      <c r="E21">
        <f t="shared" ref="E21:E48" si="0">+(C21-C$7)/C$8</f>
        <v>-31041.978109464362</v>
      </c>
      <c r="F21">
        <f t="shared" ref="F21:F48" si="1">ROUND(2*E21,0)/2</f>
        <v>-31042</v>
      </c>
      <c r="G21">
        <f t="shared" ref="G21:G48" si="2">+C21-(C$7+F21*C$8)</f>
        <v>1.7993599994952092E-2</v>
      </c>
      <c r="I21">
        <f t="shared" ref="I21:I26" si="3">+G21</f>
        <v>1.7993599994952092E-2</v>
      </c>
      <c r="Q21" s="2">
        <f t="shared" ref="Q21:Q48" si="4">+C21-15018.5</f>
        <v>11965.64</v>
      </c>
    </row>
    <row r="22" spans="1:21" x14ac:dyDescent="0.2">
      <c r="A22" s="53" t="s">
        <v>63</v>
      </c>
      <c r="B22" s="55" t="s">
        <v>36</v>
      </c>
      <c r="C22" s="54">
        <v>27385.223000000002</v>
      </c>
      <c r="D22" s="54" t="s">
        <v>57</v>
      </c>
      <c r="E22">
        <f t="shared" si="0"/>
        <v>-30554.031189049674</v>
      </c>
      <c r="F22">
        <f t="shared" si="1"/>
        <v>-30554</v>
      </c>
      <c r="G22">
        <f t="shared" si="2"/>
        <v>-2.563680000093882E-2</v>
      </c>
      <c r="I22">
        <f t="shared" si="3"/>
        <v>-2.563680000093882E-2</v>
      </c>
      <c r="Q22" s="2">
        <f t="shared" si="4"/>
        <v>12366.723000000002</v>
      </c>
    </row>
    <row r="23" spans="1:21" x14ac:dyDescent="0.2">
      <c r="A23" s="53" t="s">
        <v>63</v>
      </c>
      <c r="B23" s="55" t="s">
        <v>134</v>
      </c>
      <c r="C23" s="54">
        <v>31156.14</v>
      </c>
      <c r="D23" s="54" t="s">
        <v>57</v>
      </c>
      <c r="E23">
        <f t="shared" si="0"/>
        <v>-25966.433765849524</v>
      </c>
      <c r="F23">
        <f t="shared" si="1"/>
        <v>-25966.5</v>
      </c>
      <c r="G23">
        <f t="shared" si="2"/>
        <v>5.4443199995148461E-2</v>
      </c>
      <c r="I23">
        <f t="shared" si="3"/>
        <v>5.4443199995148461E-2</v>
      </c>
      <c r="Q23" s="2">
        <f t="shared" si="4"/>
        <v>16137.64</v>
      </c>
    </row>
    <row r="24" spans="1:21" x14ac:dyDescent="0.2">
      <c r="A24" s="53" t="s">
        <v>63</v>
      </c>
      <c r="B24" s="55" t="s">
        <v>36</v>
      </c>
      <c r="C24" s="54">
        <v>31158.22</v>
      </c>
      <c r="D24" s="54" t="s">
        <v>57</v>
      </c>
      <c r="E24">
        <f t="shared" si="0"/>
        <v>-25963.903293118285</v>
      </c>
      <c r="F24">
        <f t="shared" si="1"/>
        <v>-25964</v>
      </c>
      <c r="G24">
        <f t="shared" si="2"/>
        <v>7.9491199998301454E-2</v>
      </c>
      <c r="I24">
        <f t="shared" si="3"/>
        <v>7.9491199998301454E-2</v>
      </c>
      <c r="Q24" s="2">
        <f t="shared" si="4"/>
        <v>16139.720000000001</v>
      </c>
    </row>
    <row r="25" spans="1:21" x14ac:dyDescent="0.2">
      <c r="A25" s="53" t="s">
        <v>63</v>
      </c>
      <c r="B25" s="55" t="s">
        <v>134</v>
      </c>
      <c r="C25" s="54">
        <v>31163.200000000001</v>
      </c>
      <c r="D25" s="54" t="s">
        <v>57</v>
      </c>
      <c r="E25">
        <f t="shared" si="0"/>
        <v>-25957.844757444462</v>
      </c>
      <c r="F25">
        <f t="shared" si="1"/>
        <v>-25958</v>
      </c>
      <c r="G25">
        <f t="shared" si="2"/>
        <v>0.12760639999760315</v>
      </c>
      <c r="I25">
        <f t="shared" si="3"/>
        <v>0.12760639999760315</v>
      </c>
      <c r="Q25" s="2">
        <f t="shared" si="4"/>
        <v>16144.7</v>
      </c>
    </row>
    <row r="26" spans="1:21" x14ac:dyDescent="0.2">
      <c r="A26" s="53" t="s">
        <v>63</v>
      </c>
      <c r="B26" s="55" t="s">
        <v>36</v>
      </c>
      <c r="C26" s="54">
        <v>31181.119999999999</v>
      </c>
      <c r="D26" s="54" t="s">
        <v>57</v>
      </c>
      <c r="E26">
        <f t="shared" si="0"/>
        <v>-25936.043761606117</v>
      </c>
      <c r="F26">
        <f t="shared" si="1"/>
        <v>-25936</v>
      </c>
      <c r="G26">
        <f t="shared" si="2"/>
        <v>-3.5971200006315485E-2</v>
      </c>
      <c r="I26">
        <f t="shared" si="3"/>
        <v>-3.5971200006315485E-2</v>
      </c>
      <c r="Q26" s="2">
        <f t="shared" si="4"/>
        <v>16162.619999999999</v>
      </c>
    </row>
    <row r="27" spans="1:21" x14ac:dyDescent="0.2">
      <c r="A27" s="53" t="s">
        <v>63</v>
      </c>
      <c r="B27" s="55" t="s">
        <v>134</v>
      </c>
      <c r="C27" s="54">
        <v>31186.12</v>
      </c>
      <c r="D27" s="54" t="s">
        <v>57</v>
      </c>
      <c r="E27">
        <f t="shared" si="0"/>
        <v>-25929.960894463722</v>
      </c>
      <c r="F27">
        <f t="shared" si="1"/>
        <v>-25930</v>
      </c>
      <c r="G27">
        <f t="shared" si="2"/>
        <v>3.2143999993422767E-2</v>
      </c>
      <c r="I27">
        <f>+G27</f>
        <v>3.2143999993422767E-2</v>
      </c>
      <c r="Q27" s="2">
        <f t="shared" si="4"/>
        <v>16167.619999999999</v>
      </c>
    </row>
    <row r="28" spans="1:21" x14ac:dyDescent="0.2">
      <c r="A28" s="29" t="s">
        <v>42</v>
      </c>
      <c r="B28" s="30" t="s">
        <v>36</v>
      </c>
      <c r="C28" s="31">
        <v>50480.46</v>
      </c>
      <c r="D28" s="31">
        <f>0.007</f>
        <v>7.0000000000000001E-3</v>
      </c>
      <c r="E28">
        <f t="shared" si="0"/>
        <v>-2456.9795304221266</v>
      </c>
      <c r="F28">
        <f t="shared" si="1"/>
        <v>-2457</v>
      </c>
      <c r="G28">
        <f t="shared" si="2"/>
        <v>1.6825599996082019E-2</v>
      </c>
      <c r="I28">
        <f>+G28</f>
        <v>1.6825599996082019E-2</v>
      </c>
      <c r="O28">
        <f t="shared" ref="O28:O48" ca="1" si="5">+C$11+C$12*$F28</f>
        <v>6.6313336893892433E-2</v>
      </c>
      <c r="Q28" s="2">
        <f t="shared" si="4"/>
        <v>35461.96</v>
      </c>
    </row>
    <row r="29" spans="1:21" x14ac:dyDescent="0.2">
      <c r="A29" s="31" t="s">
        <v>37</v>
      </c>
      <c r="B29" s="30" t="s">
        <v>36</v>
      </c>
      <c r="C29" s="31">
        <v>52500.05</v>
      </c>
      <c r="D29" s="32"/>
      <c r="E29">
        <f t="shared" si="0"/>
        <v>0</v>
      </c>
      <c r="F29">
        <f t="shared" si="1"/>
        <v>0</v>
      </c>
      <c r="G29">
        <f t="shared" si="2"/>
        <v>0</v>
      </c>
      <c r="I29">
        <f>+G29</f>
        <v>0</v>
      </c>
      <c r="O29">
        <f t="shared" ca="1" si="5"/>
        <v>3.0490585440822327E-2</v>
      </c>
      <c r="Q29" s="2">
        <f t="shared" si="4"/>
        <v>37481.550000000003</v>
      </c>
    </row>
    <row r="30" spans="1:21" x14ac:dyDescent="0.2">
      <c r="A30" s="53" t="s">
        <v>94</v>
      </c>
      <c r="B30" s="55" t="s">
        <v>36</v>
      </c>
      <c r="C30" s="54">
        <v>52996.9974</v>
      </c>
      <c r="D30" s="54" t="s">
        <v>57</v>
      </c>
      <c r="E30">
        <f t="shared" si="0"/>
        <v>604.57300219177546</v>
      </c>
      <c r="F30">
        <f t="shared" si="1"/>
        <v>604.5</v>
      </c>
      <c r="G30">
        <f t="shared" si="2"/>
        <v>6.0006399995472748E-2</v>
      </c>
      <c r="K30">
        <f>+G30</f>
        <v>6.0006399995472748E-2</v>
      </c>
      <c r="O30">
        <f t="shared" ca="1" si="5"/>
        <v>2.1677051353162221E-2</v>
      </c>
      <c r="Q30" s="2">
        <f t="shared" si="4"/>
        <v>37978.4974</v>
      </c>
    </row>
    <row r="31" spans="1:21" x14ac:dyDescent="0.2">
      <c r="A31" s="33" t="s">
        <v>41</v>
      </c>
      <c r="B31" s="34" t="s">
        <v>36</v>
      </c>
      <c r="C31" s="33">
        <v>54056.874299999792</v>
      </c>
      <c r="D31" s="31"/>
      <c r="E31">
        <f t="shared" si="0"/>
        <v>1893.9910761903311</v>
      </c>
      <c r="F31">
        <f t="shared" si="1"/>
        <v>1894</v>
      </c>
      <c r="G31">
        <f t="shared" si="2"/>
        <v>-7.3352002073079348E-3</v>
      </c>
      <c r="K31">
        <f>+G31</f>
        <v>-7.3352002073079348E-3</v>
      </c>
      <c r="O31">
        <f t="shared" ca="1" si="5"/>
        <v>2.8763032869294526E-3</v>
      </c>
      <c r="Q31" s="2">
        <f t="shared" si="4"/>
        <v>39038.374299999792</v>
      </c>
    </row>
    <row r="32" spans="1:21" x14ac:dyDescent="0.2">
      <c r="A32" s="53" t="s">
        <v>99</v>
      </c>
      <c r="B32" s="55" t="s">
        <v>134</v>
      </c>
      <c r="C32" s="54">
        <v>54056.874300000003</v>
      </c>
      <c r="D32" s="54" t="s">
        <v>57</v>
      </c>
      <c r="E32">
        <f t="shared" si="0"/>
        <v>1893.9910761905878</v>
      </c>
      <c r="F32">
        <f t="shared" si="1"/>
        <v>1894</v>
      </c>
      <c r="G32">
        <f t="shared" si="2"/>
        <v>-7.3351999963051639E-3</v>
      </c>
      <c r="K32">
        <f>+G32</f>
        <v>-7.3351999963051639E-3</v>
      </c>
      <c r="O32">
        <f t="shared" ca="1" si="5"/>
        <v>2.8763032869294526E-3</v>
      </c>
      <c r="Q32" s="2">
        <f t="shared" si="4"/>
        <v>39038.374300000003</v>
      </c>
    </row>
    <row r="33" spans="1:17" x14ac:dyDescent="0.2">
      <c r="A33" s="53" t="s">
        <v>87</v>
      </c>
      <c r="B33" s="55" t="s">
        <v>36</v>
      </c>
      <c r="C33" s="54">
        <v>54067.574999999997</v>
      </c>
      <c r="D33" s="54" t="s">
        <v>57</v>
      </c>
      <c r="E33">
        <f t="shared" si="0"/>
        <v>1907.0092634767068</v>
      </c>
      <c r="F33">
        <f t="shared" si="1"/>
        <v>1907</v>
      </c>
      <c r="G33">
        <f t="shared" si="2"/>
        <v>7.6143999976920895E-3</v>
      </c>
      <c r="K33">
        <f>+G33</f>
        <v>7.6143999976920895E-3</v>
      </c>
      <c r="O33">
        <f t="shared" ca="1" si="5"/>
        <v>2.68676491945289E-3</v>
      </c>
      <c r="Q33" s="2">
        <f t="shared" si="4"/>
        <v>39049.074999999997</v>
      </c>
    </row>
    <row r="34" spans="1:17" x14ac:dyDescent="0.2">
      <c r="A34" s="29" t="s">
        <v>42</v>
      </c>
      <c r="B34" s="30" t="s">
        <v>36</v>
      </c>
      <c r="C34" s="31">
        <v>54067.575000000186</v>
      </c>
      <c r="D34" s="31">
        <f>0.005</f>
        <v>5.0000000000000001E-3</v>
      </c>
      <c r="E34">
        <f t="shared" si="0"/>
        <v>1907.0092634769369</v>
      </c>
      <c r="F34">
        <f t="shared" si="1"/>
        <v>1907</v>
      </c>
      <c r="G34">
        <f t="shared" si="2"/>
        <v>7.6144001868669875E-3</v>
      </c>
      <c r="I34">
        <f>+G34</f>
        <v>7.6144001868669875E-3</v>
      </c>
      <c r="O34">
        <f t="shared" ca="1" si="5"/>
        <v>2.68676491945289E-3</v>
      </c>
      <c r="Q34" s="2">
        <f t="shared" si="4"/>
        <v>39049.075000000186</v>
      </c>
    </row>
    <row r="35" spans="1:17" x14ac:dyDescent="0.2">
      <c r="A35" s="53" t="s">
        <v>108</v>
      </c>
      <c r="B35" s="55" t="s">
        <v>36</v>
      </c>
      <c r="C35" s="54">
        <v>54425.117400000003</v>
      </c>
      <c r="D35" s="54" t="s">
        <v>57</v>
      </c>
      <c r="E35">
        <f t="shared" si="0"/>
        <v>2341.9858468713624</v>
      </c>
      <c r="F35">
        <f t="shared" si="1"/>
        <v>2342</v>
      </c>
      <c r="G35">
        <f t="shared" si="2"/>
        <v>-1.1633599999186117E-2</v>
      </c>
      <c r="K35">
        <f t="shared" ref="K35:K48" si="6">+G35</f>
        <v>-1.1633599999186117E-2</v>
      </c>
      <c r="O35">
        <f t="shared" ca="1" si="5"/>
        <v>-3.6554804538012804E-3</v>
      </c>
      <c r="Q35" s="2">
        <f t="shared" si="4"/>
        <v>39406.617400000003</v>
      </c>
    </row>
    <row r="36" spans="1:17" x14ac:dyDescent="0.2">
      <c r="A36" s="53" t="s">
        <v>114</v>
      </c>
      <c r="B36" s="55" t="s">
        <v>36</v>
      </c>
      <c r="C36" s="54">
        <v>54792.1371</v>
      </c>
      <c r="D36" s="54" t="s">
        <v>57</v>
      </c>
      <c r="E36">
        <f t="shared" si="0"/>
        <v>2788.4922616197327</v>
      </c>
      <c r="F36">
        <f t="shared" si="1"/>
        <v>2788.5</v>
      </c>
      <c r="G36">
        <f t="shared" si="2"/>
        <v>-6.3608000054955482E-3</v>
      </c>
      <c r="K36">
        <f t="shared" si="6"/>
        <v>-6.3608000054955482E-3</v>
      </c>
      <c r="O36">
        <f t="shared" ca="1" si="5"/>
        <v>-1.0165394382900105E-2</v>
      </c>
      <c r="Q36" s="2">
        <f t="shared" si="4"/>
        <v>39773.6371</v>
      </c>
    </row>
    <row r="37" spans="1:17" x14ac:dyDescent="0.2">
      <c r="A37" s="53" t="s">
        <v>114</v>
      </c>
      <c r="B37" s="55" t="s">
        <v>36</v>
      </c>
      <c r="C37" s="54">
        <v>54820.097900000001</v>
      </c>
      <c r="D37" s="54" t="s">
        <v>57</v>
      </c>
      <c r="E37">
        <f t="shared" si="0"/>
        <v>2822.5086279387524</v>
      </c>
      <c r="F37">
        <f t="shared" si="1"/>
        <v>2822.5</v>
      </c>
      <c r="G37">
        <f t="shared" si="2"/>
        <v>7.091999999829568E-3</v>
      </c>
      <c r="K37">
        <f t="shared" si="6"/>
        <v>7.091999999829568E-3</v>
      </c>
      <c r="O37">
        <f t="shared" ca="1" si="5"/>
        <v>-1.0661110113223415E-2</v>
      </c>
      <c r="Q37" s="2">
        <f t="shared" si="4"/>
        <v>39801.597900000001</v>
      </c>
    </row>
    <row r="38" spans="1:17" x14ac:dyDescent="0.2">
      <c r="A38" s="53" t="s">
        <v>114</v>
      </c>
      <c r="B38" s="55" t="s">
        <v>36</v>
      </c>
      <c r="C38" s="54">
        <v>54829.950799999999</v>
      </c>
      <c r="D38" s="54" t="s">
        <v>57</v>
      </c>
      <c r="E38">
        <f t="shared" si="0"/>
        <v>2834.4954042722115</v>
      </c>
      <c r="F38">
        <f t="shared" si="1"/>
        <v>2834.5</v>
      </c>
      <c r="G38">
        <f t="shared" si="2"/>
        <v>-3.7776000026497059E-3</v>
      </c>
      <c r="K38">
        <f t="shared" si="6"/>
        <v>-3.7776000026497059E-3</v>
      </c>
      <c r="O38">
        <f t="shared" ca="1" si="5"/>
        <v>-1.0836068606278702E-2</v>
      </c>
      <c r="Q38" s="2">
        <f t="shared" si="4"/>
        <v>39811.450799999999</v>
      </c>
    </row>
    <row r="39" spans="1:17" x14ac:dyDescent="0.2">
      <c r="A39" s="35" t="s">
        <v>45</v>
      </c>
      <c r="B39" s="36" t="s">
        <v>36</v>
      </c>
      <c r="C39" s="35">
        <v>55945.758699999998</v>
      </c>
      <c r="D39" s="35">
        <v>1E-3</v>
      </c>
      <c r="E39">
        <f t="shared" si="0"/>
        <v>4191.9576466992849</v>
      </c>
      <c r="F39">
        <f t="shared" si="1"/>
        <v>4192</v>
      </c>
      <c r="G39">
        <f t="shared" si="2"/>
        <v>-3.481360000296263E-2</v>
      </c>
      <c r="K39">
        <f t="shared" si="6"/>
        <v>-3.481360000296263E-2</v>
      </c>
      <c r="O39">
        <f t="shared" ca="1" si="5"/>
        <v>-3.0628248133158103E-2</v>
      </c>
      <c r="Q39" s="2">
        <f t="shared" si="4"/>
        <v>40927.258699999998</v>
      </c>
    </row>
    <row r="40" spans="1:17" x14ac:dyDescent="0.2">
      <c r="A40" s="37" t="s">
        <v>46</v>
      </c>
      <c r="B40" s="38" t="s">
        <v>36</v>
      </c>
      <c r="C40" s="39">
        <v>56315.641000000003</v>
      </c>
      <c r="D40" s="39">
        <v>8.9999999999999998E-4</v>
      </c>
      <c r="E40">
        <f t="shared" si="0"/>
        <v>4641.946624544029</v>
      </c>
      <c r="F40">
        <f t="shared" si="1"/>
        <v>4642</v>
      </c>
      <c r="G40">
        <f t="shared" si="2"/>
        <v>-4.3873599999642465E-2</v>
      </c>
      <c r="K40">
        <f t="shared" si="6"/>
        <v>-4.3873599999642465E-2</v>
      </c>
      <c r="O40">
        <f t="shared" ca="1" si="5"/>
        <v>-3.7189191622731391E-2</v>
      </c>
      <c r="Q40" s="2">
        <f t="shared" si="4"/>
        <v>41297.141000000003</v>
      </c>
    </row>
    <row r="41" spans="1:17" x14ac:dyDescent="0.2">
      <c r="A41" s="61" t="s">
        <v>2</v>
      </c>
      <c r="B41" s="62" t="s">
        <v>36</v>
      </c>
      <c r="C41" s="61">
        <v>56669.910199999809</v>
      </c>
      <c r="D41" s="61" t="s">
        <v>106</v>
      </c>
      <c r="E41">
        <f t="shared" si="0"/>
        <v>5072.9411197923437</v>
      </c>
      <c r="F41">
        <f t="shared" si="1"/>
        <v>5073</v>
      </c>
      <c r="G41">
        <f t="shared" si="2"/>
        <v>-4.8398400191217661E-2</v>
      </c>
      <c r="K41">
        <f t="shared" si="6"/>
        <v>-4.8398400191217661E-2</v>
      </c>
      <c r="O41">
        <f t="shared" ca="1" si="5"/>
        <v>-4.3473117498300462E-2</v>
      </c>
      <c r="Q41" s="2">
        <f t="shared" si="4"/>
        <v>41651.410199999809</v>
      </c>
    </row>
    <row r="42" spans="1:17" x14ac:dyDescent="0.2">
      <c r="A42" s="53" t="s">
        <v>133</v>
      </c>
      <c r="B42" s="55" t="s">
        <v>36</v>
      </c>
      <c r="C42" s="54">
        <v>56669.910199999998</v>
      </c>
      <c r="D42" s="54" t="s">
        <v>57</v>
      </c>
      <c r="E42">
        <f t="shared" si="0"/>
        <v>5072.9411197925738</v>
      </c>
      <c r="F42">
        <f t="shared" si="1"/>
        <v>5073</v>
      </c>
      <c r="G42">
        <f t="shared" si="2"/>
        <v>-4.8398400002042763E-2</v>
      </c>
      <c r="K42">
        <f t="shared" si="6"/>
        <v>-4.8398400002042763E-2</v>
      </c>
      <c r="O42">
        <f t="shared" ca="1" si="5"/>
        <v>-4.3473117498300462E-2</v>
      </c>
      <c r="Q42" s="2">
        <f t="shared" si="4"/>
        <v>41651.410199999998</v>
      </c>
    </row>
    <row r="43" spans="1:17" x14ac:dyDescent="0.2">
      <c r="A43" s="61" t="s">
        <v>1</v>
      </c>
      <c r="B43" s="62" t="s">
        <v>134</v>
      </c>
      <c r="C43" s="61">
        <v>57729.0311</v>
      </c>
      <c r="D43" s="61" t="s">
        <v>0</v>
      </c>
      <c r="E43">
        <f t="shared" si="0"/>
        <v>6361.439464279455</v>
      </c>
      <c r="F43">
        <f t="shared" si="1"/>
        <v>6361.5</v>
      </c>
      <c r="G43">
        <f t="shared" si="2"/>
        <v>-4.9759200002881698E-2</v>
      </c>
      <c r="K43">
        <f t="shared" si="6"/>
        <v>-4.9759200002881698E-2</v>
      </c>
      <c r="O43">
        <f t="shared" ca="1" si="5"/>
        <v>-6.2259285690111951E-2</v>
      </c>
      <c r="Q43" s="2">
        <f t="shared" si="4"/>
        <v>42710.5311</v>
      </c>
    </row>
    <row r="44" spans="1:17" x14ac:dyDescent="0.2">
      <c r="A44" s="57" t="s">
        <v>136</v>
      </c>
      <c r="B44" s="58" t="s">
        <v>134</v>
      </c>
      <c r="C44" s="59">
        <v>57756.968200000003</v>
      </c>
      <c r="D44" s="60" t="s">
        <v>106</v>
      </c>
      <c r="E44">
        <f t="shared" si="0"/>
        <v>6395.426997808222</v>
      </c>
      <c r="F44">
        <f t="shared" si="1"/>
        <v>6395.5</v>
      </c>
      <c r="G44">
        <f t="shared" si="2"/>
        <v>-6.0006400002748705E-2</v>
      </c>
      <c r="K44">
        <f t="shared" si="6"/>
        <v>-6.0006400002748705E-2</v>
      </c>
      <c r="O44">
        <f t="shared" ca="1" si="5"/>
        <v>-6.2755001420435275E-2</v>
      </c>
      <c r="Q44" s="2">
        <f t="shared" si="4"/>
        <v>42738.468200000003</v>
      </c>
    </row>
    <row r="45" spans="1:17" x14ac:dyDescent="0.2">
      <c r="A45" s="57" t="s">
        <v>136</v>
      </c>
      <c r="B45" s="58" t="s">
        <v>36</v>
      </c>
      <c r="C45" s="59">
        <v>57763.943200000002</v>
      </c>
      <c r="D45" s="60" t="s">
        <v>106</v>
      </c>
      <c r="E45">
        <f t="shared" si="0"/>
        <v>6403.9125974718618</v>
      </c>
      <c r="F45">
        <f t="shared" si="1"/>
        <v>6404</v>
      </c>
      <c r="G45">
        <f t="shared" si="2"/>
        <v>-7.1843199999420904E-2</v>
      </c>
      <c r="K45">
        <f t="shared" si="6"/>
        <v>-7.1843199999420904E-2</v>
      </c>
      <c r="O45">
        <f t="shared" ca="1" si="5"/>
        <v>-6.2878930353016102E-2</v>
      </c>
      <c r="Q45" s="2">
        <f t="shared" si="4"/>
        <v>42745.443200000002</v>
      </c>
    </row>
    <row r="46" spans="1:17" x14ac:dyDescent="0.2">
      <c r="A46" s="57" t="s">
        <v>136</v>
      </c>
      <c r="B46" s="58" t="s">
        <v>36</v>
      </c>
      <c r="C46" s="59">
        <v>58077.116399999999</v>
      </c>
      <c r="D46" s="60" t="s">
        <v>137</v>
      </c>
      <c r="E46">
        <f t="shared" si="0"/>
        <v>6784.9107911036317</v>
      </c>
      <c r="F46">
        <f t="shared" si="1"/>
        <v>6785</v>
      </c>
      <c r="G46">
        <f t="shared" si="2"/>
        <v>-7.3328000005858485E-2</v>
      </c>
      <c r="K46">
        <f t="shared" si="6"/>
        <v>-7.3328000005858485E-2</v>
      </c>
      <c r="O46">
        <f t="shared" ca="1" si="5"/>
        <v>-6.8433862507521467E-2</v>
      </c>
      <c r="Q46" s="2">
        <f t="shared" si="4"/>
        <v>43058.616399999999</v>
      </c>
    </row>
    <row r="47" spans="1:17" x14ac:dyDescent="0.2">
      <c r="A47" s="57" t="s">
        <v>136</v>
      </c>
      <c r="B47" s="58" t="s">
        <v>36</v>
      </c>
      <c r="C47" s="59">
        <v>58077.117299999998</v>
      </c>
      <c r="D47" s="60" t="s">
        <v>106</v>
      </c>
      <c r="E47">
        <f t="shared" si="0"/>
        <v>6784.9118860197168</v>
      </c>
      <c r="F47">
        <f t="shared" si="1"/>
        <v>6785</v>
      </c>
      <c r="G47">
        <f t="shared" si="2"/>
        <v>-7.2428000006766524E-2</v>
      </c>
      <c r="K47">
        <f t="shared" si="6"/>
        <v>-7.2428000006766524E-2</v>
      </c>
      <c r="O47">
        <f t="shared" ca="1" si="5"/>
        <v>-6.8433862507521467E-2</v>
      </c>
      <c r="Q47" s="2">
        <f t="shared" si="4"/>
        <v>43058.617299999998</v>
      </c>
    </row>
    <row r="48" spans="1:17" x14ac:dyDescent="0.2">
      <c r="A48" s="57" t="s">
        <v>136</v>
      </c>
      <c r="B48" s="58" t="s">
        <v>36</v>
      </c>
      <c r="C48" s="59">
        <v>58077.119100000004</v>
      </c>
      <c r="D48" s="60" t="s">
        <v>56</v>
      </c>
      <c r="E48">
        <f t="shared" si="0"/>
        <v>6784.9140758518943</v>
      </c>
      <c r="F48">
        <f t="shared" si="1"/>
        <v>6785</v>
      </c>
      <c r="G48">
        <f t="shared" si="2"/>
        <v>-7.0628000001306646E-2</v>
      </c>
      <c r="K48">
        <f t="shared" si="6"/>
        <v>-7.0628000001306646E-2</v>
      </c>
      <c r="O48">
        <f t="shared" ca="1" si="5"/>
        <v>-6.8433862507521467E-2</v>
      </c>
      <c r="Q48" s="2">
        <f t="shared" si="4"/>
        <v>43058.619100000004</v>
      </c>
    </row>
    <row r="49" spans="1:17" x14ac:dyDescent="0.2">
      <c r="A49" s="63" t="s">
        <v>138</v>
      </c>
      <c r="B49" s="64" t="s">
        <v>36</v>
      </c>
      <c r="C49" s="65">
        <v>59924.086999999825</v>
      </c>
      <c r="D49" s="10"/>
      <c r="E49">
        <f t="shared" ref="E49" si="7">+(C49-C$7)/C$8</f>
        <v>9031.8861462455352</v>
      </c>
      <c r="F49">
        <f t="shared" ref="F49" si="8">ROUND(2*E49,0)/2</f>
        <v>9032</v>
      </c>
      <c r="G49">
        <f t="shared" ref="G49" si="9">+C49-(C$7+F49*C$8)</f>
        <v>-9.3585600174264982E-2</v>
      </c>
      <c r="K49">
        <f t="shared" ref="K49" si="10">+G49</f>
        <v>-9.3585600174264982E-2</v>
      </c>
      <c r="O49">
        <f t="shared" ref="O49" ca="1" si="11">+C$11+C$12*$F49</f>
        <v>-0.10119484033212404</v>
      </c>
      <c r="Q49" s="2">
        <f t="shared" ref="Q49" si="12">+C49-15018.5</f>
        <v>44905.586999999825</v>
      </c>
    </row>
    <row r="50" spans="1:17" x14ac:dyDescent="0.2">
      <c r="C50" s="10"/>
      <c r="D50" s="10"/>
    </row>
    <row r="51" spans="1:17" x14ac:dyDescent="0.2">
      <c r="C51" s="10"/>
      <c r="D51" s="10"/>
    </row>
    <row r="52" spans="1:17" x14ac:dyDescent="0.2">
      <c r="C52" s="10"/>
      <c r="D52" s="10"/>
    </row>
    <row r="53" spans="1:17" x14ac:dyDescent="0.2">
      <c r="C53" s="10"/>
      <c r="D53" s="10"/>
    </row>
    <row r="54" spans="1:17" x14ac:dyDescent="0.2">
      <c r="C54" s="10"/>
      <c r="D54" s="10"/>
    </row>
    <row r="55" spans="1:17" x14ac:dyDescent="0.2">
      <c r="C55" s="10"/>
      <c r="D55" s="10"/>
    </row>
    <row r="56" spans="1:17" x14ac:dyDescent="0.2">
      <c r="C56" s="10"/>
      <c r="D56" s="10"/>
    </row>
    <row r="57" spans="1:17" x14ac:dyDescent="0.2">
      <c r="C57" s="10"/>
      <c r="D57" s="10"/>
    </row>
    <row r="58" spans="1:17" x14ac:dyDescent="0.2">
      <c r="C58" s="10"/>
      <c r="D58" s="10"/>
    </row>
    <row r="59" spans="1:17" x14ac:dyDescent="0.2">
      <c r="C59" s="10"/>
      <c r="D59" s="10"/>
    </row>
    <row r="60" spans="1:17" x14ac:dyDescent="0.2">
      <c r="C60" s="10"/>
      <c r="D60" s="10"/>
    </row>
    <row r="61" spans="1:17" x14ac:dyDescent="0.2">
      <c r="C61" s="10"/>
      <c r="D61" s="10"/>
    </row>
    <row r="62" spans="1:17" x14ac:dyDescent="0.2">
      <c r="C62" s="10"/>
      <c r="D62" s="10"/>
    </row>
    <row r="63" spans="1:17" x14ac:dyDescent="0.2">
      <c r="C63" s="10"/>
      <c r="D63" s="10"/>
    </row>
    <row r="64" spans="1:17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</sheetData>
  <phoneticPr fontId="7" type="noConversion"/>
  <hyperlinks>
    <hyperlink ref="H64293" r:id="rId1" display="http://vsolj.cetus-net.org/bulletin.html"/>
    <hyperlink ref="H64286" r:id="rId2" display="https://www.aavso.org/ejaavso"/>
    <hyperlink ref="I64293" r:id="rId3" display="http://vsolj.cetus-net.org/bulletin.html"/>
    <hyperlink ref="AQ57944" r:id="rId4" display="http://cdsbib.u-strasbg.fr/cgi-bin/cdsbib?1990RMxAA..21..381G"/>
    <hyperlink ref="H64290" r:id="rId5" display="https://www.aavso.org/ejaavso"/>
    <hyperlink ref="AP5308" r:id="rId6" display="http://cdsbib.u-strasbg.fr/cgi-bin/cdsbib?1990RMxAA..21..381G"/>
    <hyperlink ref="AP5311" r:id="rId7" display="http://cdsbib.u-strasbg.fr/cgi-bin/cdsbib?1990RMxAA..21..381G"/>
    <hyperlink ref="AP5309" r:id="rId8" display="http://cdsbib.u-strasbg.fr/cgi-bin/cdsbib?1990RMxAA..21..381G"/>
    <hyperlink ref="AP5293" r:id="rId9" display="http://cdsbib.u-strasbg.fr/cgi-bin/cdsbib?1990RMxAA..21..381G"/>
    <hyperlink ref="AQ5522" r:id="rId10" display="http://cdsbib.u-strasbg.fr/cgi-bin/cdsbib?1990RMxAA..21..381G"/>
    <hyperlink ref="AQ5526" r:id="rId11" display="http://cdsbib.u-strasbg.fr/cgi-bin/cdsbib?1990RMxAA..21..381G"/>
    <hyperlink ref="AQ65206" r:id="rId12" display="http://cdsbib.u-strasbg.fr/cgi-bin/cdsbib?1990RMxAA..21..381G"/>
    <hyperlink ref="I2414" r:id="rId13" display="http://vsolj.cetus-net.org/bulletin.html"/>
    <hyperlink ref="H2414" r:id="rId14" display="http://vsolj.cetus-net.org/bulletin.html"/>
    <hyperlink ref="AQ331" r:id="rId15" display="http://cdsbib.u-strasbg.fr/cgi-bin/cdsbib?1990RMxAA..21..381G"/>
    <hyperlink ref="AQ330" r:id="rId16" display="http://cdsbib.u-strasbg.fr/cgi-bin/cdsbib?1990RMxAA..21..381G"/>
    <hyperlink ref="AP3584" r:id="rId17" display="http://cdsbib.u-strasbg.fr/cgi-bin/cdsbib?1990RMxAA..21..381G"/>
    <hyperlink ref="AP3602" r:id="rId18" display="http://cdsbib.u-strasbg.fr/cgi-bin/cdsbib?1990RMxAA..21..381G"/>
    <hyperlink ref="AP3603" r:id="rId19" display="http://cdsbib.u-strasbg.fr/cgi-bin/cdsbib?1990RMxAA..21..381G"/>
    <hyperlink ref="AP3599" r:id="rId20" display="http://cdsbib.u-strasbg.fr/cgi-bin/cdsbib?1990RMxAA..21..381G"/>
  </hyperlinks>
  <pageMargins left="0.75" right="0.75" top="1" bottom="1" header="0.5" footer="0.5"/>
  <pageSetup orientation="portrait" horizontalDpi="300" verticalDpi="300" r:id="rId21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84"/>
  <sheetViews>
    <sheetView topLeftCell="A5" workbookViewId="0">
      <selection activeCell="A14" sqref="A14:D28"/>
    </sheetView>
  </sheetViews>
  <sheetFormatPr defaultRowHeight="12.75" x14ac:dyDescent="0.2"/>
  <cols>
    <col min="1" max="1" width="19.7109375" style="10" customWidth="1"/>
    <col min="2" max="2" width="4.42578125" style="12" customWidth="1"/>
    <col min="3" max="3" width="12.7109375" style="10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40" t="s">
        <v>47</v>
      </c>
      <c r="I1" s="41" t="s">
        <v>48</v>
      </c>
      <c r="J1" s="42" t="s">
        <v>49</v>
      </c>
    </row>
    <row r="2" spans="1:16" x14ac:dyDescent="0.2">
      <c r="I2" s="43" t="s">
        <v>50</v>
      </c>
      <c r="J2" s="44" t="s">
        <v>51</v>
      </c>
    </row>
    <row r="3" spans="1:16" x14ac:dyDescent="0.2">
      <c r="A3" s="45" t="s">
        <v>52</v>
      </c>
      <c r="I3" s="43" t="s">
        <v>53</v>
      </c>
      <c r="J3" s="44" t="s">
        <v>54</v>
      </c>
    </row>
    <row r="4" spans="1:16" x14ac:dyDescent="0.2">
      <c r="I4" s="43" t="s">
        <v>55</v>
      </c>
      <c r="J4" s="44" t="s">
        <v>54</v>
      </c>
    </row>
    <row r="5" spans="1:16" ht="13.5" thickBot="1" x14ac:dyDescent="0.25">
      <c r="I5" s="46" t="s">
        <v>56</v>
      </c>
      <c r="J5" s="47" t="s">
        <v>57</v>
      </c>
    </row>
    <row r="10" spans="1:16" ht="13.5" thickBot="1" x14ac:dyDescent="0.25"/>
    <row r="11" spans="1:16" ht="12.75" customHeight="1" thickBot="1" x14ac:dyDescent="0.25">
      <c r="A11" s="10" t="str">
        <f t="shared" ref="A11:A28" si="0">P11</f>
        <v>OEJV 0073 </v>
      </c>
      <c r="B11" s="3" t="str">
        <f t="shared" ref="B11:B28" si="1">IF(H11=INT(H11),"I","II")</f>
        <v>I</v>
      </c>
      <c r="C11" s="10">
        <f t="shared" ref="C11:C28" si="2">1*G11</f>
        <v>50480.46</v>
      </c>
      <c r="D11" s="12" t="str">
        <f t="shared" ref="D11:D28" si="3">VLOOKUP(F11,I$1:J$5,2,FALSE)</f>
        <v>vis</v>
      </c>
      <c r="E11" s="48">
        <f>VLOOKUP(C11,aCTIVE!C$21:E$973,3,FALSE)</f>
        <v>-2456.9795304221266</v>
      </c>
      <c r="F11" s="3" t="s">
        <v>56</v>
      </c>
      <c r="G11" s="12" t="str">
        <f t="shared" ref="G11:G28" si="4">MID(I11,3,LEN(I11)-3)</f>
        <v>50480.460</v>
      </c>
      <c r="H11" s="10">
        <f t="shared" ref="H11:H28" si="5">1*K11</f>
        <v>13506</v>
      </c>
      <c r="I11" s="49" t="s">
        <v>81</v>
      </c>
      <c r="J11" s="50" t="s">
        <v>82</v>
      </c>
      <c r="K11" s="49">
        <v>13506</v>
      </c>
      <c r="L11" s="49" t="s">
        <v>83</v>
      </c>
      <c r="M11" s="50" t="s">
        <v>84</v>
      </c>
      <c r="N11" s="50" t="s">
        <v>85</v>
      </c>
      <c r="O11" s="51" t="s">
        <v>86</v>
      </c>
      <c r="P11" s="52" t="s">
        <v>87</v>
      </c>
    </row>
    <row r="12" spans="1:16" ht="12.75" customHeight="1" thickBot="1" x14ac:dyDescent="0.25">
      <c r="A12" s="10" t="str">
        <f t="shared" si="0"/>
        <v>IBVS 6029 </v>
      </c>
      <c r="B12" s="3" t="str">
        <f t="shared" si="1"/>
        <v>II</v>
      </c>
      <c r="C12" s="10">
        <f t="shared" si="2"/>
        <v>55945.758699999998</v>
      </c>
      <c r="D12" s="12" t="str">
        <f t="shared" si="3"/>
        <v>vis</v>
      </c>
      <c r="E12" s="48">
        <f>VLOOKUP(C12,aCTIVE!C$21:E$973,3,FALSE)</f>
        <v>4191.9576466992849</v>
      </c>
      <c r="F12" s="3" t="s">
        <v>56</v>
      </c>
      <c r="G12" s="12" t="str">
        <f t="shared" si="4"/>
        <v>55945.7587</v>
      </c>
      <c r="H12" s="10">
        <f t="shared" si="5"/>
        <v>17328.5</v>
      </c>
      <c r="I12" s="49" t="s">
        <v>121</v>
      </c>
      <c r="J12" s="50" t="s">
        <v>122</v>
      </c>
      <c r="K12" s="49">
        <v>17328.5</v>
      </c>
      <c r="L12" s="49" t="s">
        <v>123</v>
      </c>
      <c r="M12" s="50" t="s">
        <v>84</v>
      </c>
      <c r="N12" s="50" t="s">
        <v>56</v>
      </c>
      <c r="O12" s="51" t="s">
        <v>124</v>
      </c>
      <c r="P12" s="52" t="s">
        <v>125</v>
      </c>
    </row>
    <row r="13" spans="1:16" ht="12.75" customHeight="1" thickBot="1" x14ac:dyDescent="0.25">
      <c r="A13" s="10" t="str">
        <f t="shared" si="0"/>
        <v>IBVS 6063 </v>
      </c>
      <c r="B13" s="3" t="str">
        <f t="shared" si="1"/>
        <v>I</v>
      </c>
      <c r="C13" s="10">
        <f t="shared" si="2"/>
        <v>56315.641000000003</v>
      </c>
      <c r="D13" s="12" t="str">
        <f t="shared" si="3"/>
        <v>vis</v>
      </c>
      <c r="E13" s="48">
        <f>VLOOKUP(C13,aCTIVE!C$21:E$973,3,FALSE)</f>
        <v>4641.946624544029</v>
      </c>
      <c r="F13" s="3" t="s">
        <v>56</v>
      </c>
      <c r="G13" s="12" t="str">
        <f t="shared" si="4"/>
        <v>56315.6410</v>
      </c>
      <c r="H13" s="10">
        <f t="shared" si="5"/>
        <v>17587</v>
      </c>
      <c r="I13" s="49" t="s">
        <v>126</v>
      </c>
      <c r="J13" s="50" t="s">
        <v>127</v>
      </c>
      <c r="K13" s="49">
        <v>17587</v>
      </c>
      <c r="L13" s="49" t="s">
        <v>128</v>
      </c>
      <c r="M13" s="50" t="s">
        <v>84</v>
      </c>
      <c r="N13" s="50" t="s">
        <v>56</v>
      </c>
      <c r="O13" s="51" t="s">
        <v>124</v>
      </c>
      <c r="P13" s="52" t="s">
        <v>129</v>
      </c>
    </row>
    <row r="14" spans="1:16" ht="12.75" customHeight="1" thickBot="1" x14ac:dyDescent="0.25">
      <c r="A14" s="10" t="str">
        <f t="shared" si="0"/>
        <v> IODE 4.2.47 </v>
      </c>
      <c r="B14" s="3" t="str">
        <f t="shared" si="1"/>
        <v>II</v>
      </c>
      <c r="C14" s="10">
        <f t="shared" si="2"/>
        <v>26984.14</v>
      </c>
      <c r="D14" s="12" t="str">
        <f t="shared" si="3"/>
        <v>vis</v>
      </c>
      <c r="E14" s="48">
        <f>VLOOKUP(C14,aCTIVE!C$21:E$973,3,FALSE)</f>
        <v>-31041.978109464362</v>
      </c>
      <c r="F14" s="3" t="s">
        <v>56</v>
      </c>
      <c r="G14" s="12" t="str">
        <f t="shared" si="4"/>
        <v>26984.14</v>
      </c>
      <c r="H14" s="10">
        <f t="shared" si="5"/>
        <v>-2918.5</v>
      </c>
      <c r="I14" s="49" t="s">
        <v>58</v>
      </c>
      <c r="J14" s="50" t="s">
        <v>59</v>
      </c>
      <c r="K14" s="49">
        <v>-2918.5</v>
      </c>
      <c r="L14" s="49" t="s">
        <v>60</v>
      </c>
      <c r="M14" s="50" t="s">
        <v>61</v>
      </c>
      <c r="N14" s="50"/>
      <c r="O14" s="51" t="s">
        <v>62</v>
      </c>
      <c r="P14" s="51" t="s">
        <v>63</v>
      </c>
    </row>
    <row r="15" spans="1:16" ht="12.75" customHeight="1" thickBot="1" x14ac:dyDescent="0.25">
      <c r="A15" s="10" t="str">
        <f t="shared" si="0"/>
        <v> IODE 4.2.47 </v>
      </c>
      <c r="B15" s="3" t="str">
        <f t="shared" si="1"/>
        <v>I</v>
      </c>
      <c r="C15" s="10">
        <f t="shared" si="2"/>
        <v>27385.223000000002</v>
      </c>
      <c r="D15" s="12" t="str">
        <f t="shared" si="3"/>
        <v>vis</v>
      </c>
      <c r="E15" s="48">
        <f>VLOOKUP(C15,aCTIVE!C$21:E$973,3,FALSE)</f>
        <v>-30554.031189049674</v>
      </c>
      <c r="F15" s="3" t="s">
        <v>56</v>
      </c>
      <c r="G15" s="12" t="str">
        <f t="shared" si="4"/>
        <v>27385.223</v>
      </c>
      <c r="H15" s="10">
        <f t="shared" si="5"/>
        <v>-2638</v>
      </c>
      <c r="I15" s="49" t="s">
        <v>64</v>
      </c>
      <c r="J15" s="50" t="s">
        <v>65</v>
      </c>
      <c r="K15" s="49">
        <v>-2638</v>
      </c>
      <c r="L15" s="49" t="s">
        <v>66</v>
      </c>
      <c r="M15" s="50" t="s">
        <v>61</v>
      </c>
      <c r="N15" s="50"/>
      <c r="O15" s="51" t="s">
        <v>62</v>
      </c>
      <c r="P15" s="51" t="s">
        <v>63</v>
      </c>
    </row>
    <row r="16" spans="1:16" ht="12.75" customHeight="1" thickBot="1" x14ac:dyDescent="0.25">
      <c r="A16" s="10" t="str">
        <f t="shared" si="0"/>
        <v> IODE 4.2.47 </v>
      </c>
      <c r="B16" s="3" t="str">
        <f t="shared" si="1"/>
        <v>II</v>
      </c>
      <c r="C16" s="10">
        <f t="shared" si="2"/>
        <v>31156.14</v>
      </c>
      <c r="D16" s="12" t="str">
        <f t="shared" si="3"/>
        <v>vis</v>
      </c>
      <c r="E16" s="48">
        <f>VLOOKUP(C16,aCTIVE!C$21:E$973,3,FALSE)</f>
        <v>-25966.433765849524</v>
      </c>
      <c r="F16" s="3" t="s">
        <v>56</v>
      </c>
      <c r="G16" s="12" t="str">
        <f t="shared" si="4"/>
        <v>31156.14</v>
      </c>
      <c r="H16" s="10">
        <f t="shared" si="5"/>
        <v>-0.5</v>
      </c>
      <c r="I16" s="49" t="s">
        <v>67</v>
      </c>
      <c r="J16" s="50" t="s">
        <v>68</v>
      </c>
      <c r="K16" s="49">
        <v>-0.5</v>
      </c>
      <c r="L16" s="49" t="s">
        <v>69</v>
      </c>
      <c r="M16" s="50" t="s">
        <v>61</v>
      </c>
      <c r="N16" s="50"/>
      <c r="O16" s="51" t="s">
        <v>62</v>
      </c>
      <c r="P16" s="51" t="s">
        <v>63</v>
      </c>
    </row>
    <row r="17" spans="1:16" ht="12.75" customHeight="1" thickBot="1" x14ac:dyDescent="0.25">
      <c r="A17" s="10" t="str">
        <f t="shared" si="0"/>
        <v> IODE 4.2.47 </v>
      </c>
      <c r="B17" s="3" t="str">
        <f t="shared" si="1"/>
        <v>I</v>
      </c>
      <c r="C17" s="10">
        <f t="shared" si="2"/>
        <v>31158.22</v>
      </c>
      <c r="D17" s="12" t="str">
        <f t="shared" si="3"/>
        <v>vis</v>
      </c>
      <c r="E17" s="48">
        <f>VLOOKUP(C17,aCTIVE!C$21:E$973,3,FALSE)</f>
        <v>-25963.903293118285</v>
      </c>
      <c r="F17" s="3" t="s">
        <v>56</v>
      </c>
      <c r="G17" s="12" t="str">
        <f t="shared" si="4"/>
        <v>31158.22</v>
      </c>
      <c r="H17" s="10">
        <f t="shared" si="5"/>
        <v>1</v>
      </c>
      <c r="I17" s="49" t="s">
        <v>70</v>
      </c>
      <c r="J17" s="50" t="s">
        <v>71</v>
      </c>
      <c r="K17" s="49">
        <v>1</v>
      </c>
      <c r="L17" s="49" t="s">
        <v>72</v>
      </c>
      <c r="M17" s="50" t="s">
        <v>61</v>
      </c>
      <c r="N17" s="50"/>
      <c r="O17" s="51" t="s">
        <v>62</v>
      </c>
      <c r="P17" s="51" t="s">
        <v>63</v>
      </c>
    </row>
    <row r="18" spans="1:16" ht="12.75" customHeight="1" thickBot="1" x14ac:dyDescent="0.25">
      <c r="A18" s="10" t="str">
        <f t="shared" si="0"/>
        <v> IODE 4.2.47 </v>
      </c>
      <c r="B18" s="3" t="str">
        <f t="shared" si="1"/>
        <v>II</v>
      </c>
      <c r="C18" s="10">
        <f t="shared" si="2"/>
        <v>31163.200000000001</v>
      </c>
      <c r="D18" s="12" t="str">
        <f t="shared" si="3"/>
        <v>vis</v>
      </c>
      <c r="E18" s="48">
        <f>VLOOKUP(C18,aCTIVE!C$21:E$973,3,FALSE)</f>
        <v>-25957.844757444462</v>
      </c>
      <c r="F18" s="3" t="s">
        <v>56</v>
      </c>
      <c r="G18" s="12" t="str">
        <f t="shared" si="4"/>
        <v>31163.20</v>
      </c>
      <c r="H18" s="10">
        <f t="shared" si="5"/>
        <v>4.5</v>
      </c>
      <c r="I18" s="49" t="s">
        <v>73</v>
      </c>
      <c r="J18" s="50" t="s">
        <v>74</v>
      </c>
      <c r="K18" s="49">
        <v>4.5</v>
      </c>
      <c r="L18" s="49" t="s">
        <v>75</v>
      </c>
      <c r="M18" s="50" t="s">
        <v>61</v>
      </c>
      <c r="N18" s="50"/>
      <c r="O18" s="51" t="s">
        <v>62</v>
      </c>
      <c r="P18" s="51" t="s">
        <v>63</v>
      </c>
    </row>
    <row r="19" spans="1:16" ht="12.75" customHeight="1" thickBot="1" x14ac:dyDescent="0.25">
      <c r="A19" s="10" t="str">
        <f t="shared" si="0"/>
        <v> IODE 4.2.47 </v>
      </c>
      <c r="B19" s="3" t="str">
        <f t="shared" si="1"/>
        <v>I</v>
      </c>
      <c r="C19" s="10">
        <f t="shared" si="2"/>
        <v>31181.119999999999</v>
      </c>
      <c r="D19" s="12" t="str">
        <f t="shared" si="3"/>
        <v>vis</v>
      </c>
      <c r="E19" s="48">
        <f>VLOOKUP(C19,aCTIVE!C$21:E$973,3,FALSE)</f>
        <v>-25936.043761606117</v>
      </c>
      <c r="F19" s="3" t="s">
        <v>56</v>
      </c>
      <c r="G19" s="12" t="str">
        <f t="shared" si="4"/>
        <v>31181.12</v>
      </c>
      <c r="H19" s="10">
        <f t="shared" si="5"/>
        <v>17</v>
      </c>
      <c r="I19" s="49" t="s">
        <v>76</v>
      </c>
      <c r="J19" s="50" t="s">
        <v>77</v>
      </c>
      <c r="K19" s="49">
        <v>17</v>
      </c>
      <c r="L19" s="49" t="s">
        <v>78</v>
      </c>
      <c r="M19" s="50" t="s">
        <v>61</v>
      </c>
      <c r="N19" s="50"/>
      <c r="O19" s="51" t="s">
        <v>62</v>
      </c>
      <c r="P19" s="51" t="s">
        <v>63</v>
      </c>
    </row>
    <row r="20" spans="1:16" ht="12.75" customHeight="1" thickBot="1" x14ac:dyDescent="0.25">
      <c r="A20" s="10" t="str">
        <f t="shared" si="0"/>
        <v> IODE 4.2.47 </v>
      </c>
      <c r="B20" s="3" t="str">
        <f t="shared" si="1"/>
        <v>II</v>
      </c>
      <c r="C20" s="10">
        <f t="shared" si="2"/>
        <v>31186.12</v>
      </c>
      <c r="D20" s="12" t="str">
        <f t="shared" si="3"/>
        <v>vis</v>
      </c>
      <c r="E20" s="48">
        <f>VLOOKUP(C20,aCTIVE!C$21:E$973,3,FALSE)</f>
        <v>-25929.960894463722</v>
      </c>
      <c r="F20" s="3" t="s">
        <v>56</v>
      </c>
      <c r="G20" s="12" t="str">
        <f t="shared" si="4"/>
        <v>31186.12</v>
      </c>
      <c r="H20" s="10">
        <f t="shared" si="5"/>
        <v>20.5</v>
      </c>
      <c r="I20" s="49" t="s">
        <v>79</v>
      </c>
      <c r="J20" s="50" t="s">
        <v>80</v>
      </c>
      <c r="K20" s="49">
        <v>20.5</v>
      </c>
      <c r="L20" s="49" t="s">
        <v>78</v>
      </c>
      <c r="M20" s="50" t="s">
        <v>61</v>
      </c>
      <c r="N20" s="50"/>
      <c r="O20" s="51" t="s">
        <v>62</v>
      </c>
      <c r="P20" s="51" t="s">
        <v>63</v>
      </c>
    </row>
    <row r="21" spans="1:16" ht="12.75" customHeight="1" thickBot="1" x14ac:dyDescent="0.25">
      <c r="A21" s="10" t="str">
        <f t="shared" si="0"/>
        <v>VSB 42 </v>
      </c>
      <c r="B21" s="3" t="str">
        <f t="shared" si="1"/>
        <v>I</v>
      </c>
      <c r="C21" s="10">
        <f t="shared" si="2"/>
        <v>52996.9974</v>
      </c>
      <c r="D21" s="12" t="str">
        <f t="shared" si="3"/>
        <v>vis</v>
      </c>
      <c r="E21" s="48">
        <f>VLOOKUP(C21,aCTIVE!C$21:E$973,3,FALSE)</f>
        <v>604.57300219177546</v>
      </c>
      <c r="F21" s="3" t="s">
        <v>56</v>
      </c>
      <c r="G21" s="12" t="str">
        <f t="shared" si="4"/>
        <v>52996.9974</v>
      </c>
      <c r="H21" s="10">
        <f t="shared" si="5"/>
        <v>15266</v>
      </c>
      <c r="I21" s="49" t="s">
        <v>88</v>
      </c>
      <c r="J21" s="50" t="s">
        <v>89</v>
      </c>
      <c r="K21" s="49">
        <v>15266</v>
      </c>
      <c r="L21" s="49" t="s">
        <v>90</v>
      </c>
      <c r="M21" s="50" t="s">
        <v>91</v>
      </c>
      <c r="N21" s="50" t="s">
        <v>92</v>
      </c>
      <c r="O21" s="51" t="s">
        <v>93</v>
      </c>
      <c r="P21" s="52" t="s">
        <v>94</v>
      </c>
    </row>
    <row r="22" spans="1:16" ht="12.75" customHeight="1" thickBot="1" x14ac:dyDescent="0.25">
      <c r="A22" s="10" t="str">
        <f t="shared" si="0"/>
        <v>IBVS 5806 </v>
      </c>
      <c r="B22" s="3" t="str">
        <f t="shared" si="1"/>
        <v>II</v>
      </c>
      <c r="C22" s="10">
        <f t="shared" si="2"/>
        <v>54056.874300000003</v>
      </c>
      <c r="D22" s="12" t="str">
        <f t="shared" si="3"/>
        <v>vis</v>
      </c>
      <c r="E22" s="48">
        <f>VLOOKUP(C22,aCTIVE!C$21:E$973,3,FALSE)</f>
        <v>1893.9910761905878</v>
      </c>
      <c r="F22" s="3" t="s">
        <v>56</v>
      </c>
      <c r="G22" s="12" t="str">
        <f t="shared" si="4"/>
        <v>54056.8743</v>
      </c>
      <c r="H22" s="10">
        <f t="shared" si="5"/>
        <v>16007.5</v>
      </c>
      <c r="I22" s="49" t="s">
        <v>95</v>
      </c>
      <c r="J22" s="50" t="s">
        <v>96</v>
      </c>
      <c r="K22" s="49">
        <v>16007.5</v>
      </c>
      <c r="L22" s="49" t="s">
        <v>97</v>
      </c>
      <c r="M22" s="50" t="s">
        <v>84</v>
      </c>
      <c r="N22" s="50" t="s">
        <v>85</v>
      </c>
      <c r="O22" s="51" t="s">
        <v>98</v>
      </c>
      <c r="P22" s="52" t="s">
        <v>99</v>
      </c>
    </row>
    <row r="23" spans="1:16" ht="12.75" customHeight="1" thickBot="1" x14ac:dyDescent="0.25">
      <c r="A23" s="10" t="str">
        <f t="shared" si="0"/>
        <v>OEJV 0073 </v>
      </c>
      <c r="B23" s="3" t="str">
        <f t="shared" si="1"/>
        <v>I</v>
      </c>
      <c r="C23" s="10">
        <f t="shared" si="2"/>
        <v>54067.574999999997</v>
      </c>
      <c r="D23" s="12" t="str">
        <f t="shared" si="3"/>
        <v>vis</v>
      </c>
      <c r="E23" s="48">
        <f>VLOOKUP(C23,aCTIVE!C$21:E$973,3,FALSE)</f>
        <v>1907.0092634767068</v>
      </c>
      <c r="F23" s="3" t="s">
        <v>56</v>
      </c>
      <c r="G23" s="12" t="str">
        <f t="shared" si="4"/>
        <v>54067.575</v>
      </c>
      <c r="H23" s="10">
        <f t="shared" si="5"/>
        <v>16015</v>
      </c>
      <c r="I23" s="49" t="s">
        <v>100</v>
      </c>
      <c r="J23" s="50" t="s">
        <v>101</v>
      </c>
      <c r="K23" s="49">
        <v>16015</v>
      </c>
      <c r="L23" s="49" t="s">
        <v>102</v>
      </c>
      <c r="M23" s="50" t="s">
        <v>84</v>
      </c>
      <c r="N23" s="50" t="s">
        <v>85</v>
      </c>
      <c r="O23" s="51" t="s">
        <v>86</v>
      </c>
      <c r="P23" s="52" t="s">
        <v>87</v>
      </c>
    </row>
    <row r="24" spans="1:16" ht="12.75" customHeight="1" thickBot="1" x14ac:dyDescent="0.25">
      <c r="A24" s="10" t="str">
        <f t="shared" si="0"/>
        <v>VSB 46 </v>
      </c>
      <c r="B24" s="3" t="str">
        <f t="shared" si="1"/>
        <v>I</v>
      </c>
      <c r="C24" s="10">
        <f t="shared" si="2"/>
        <v>54425.117400000003</v>
      </c>
      <c r="D24" s="12" t="str">
        <f t="shared" si="3"/>
        <v>vis</v>
      </c>
      <c r="E24" s="48">
        <f>VLOOKUP(C24,aCTIVE!C$21:E$973,3,FALSE)</f>
        <v>2341.9858468713624</v>
      </c>
      <c r="F24" s="3" t="s">
        <v>56</v>
      </c>
      <c r="G24" s="12" t="str">
        <f t="shared" si="4"/>
        <v>54425.1174</v>
      </c>
      <c r="H24" s="10">
        <f t="shared" si="5"/>
        <v>16265</v>
      </c>
      <c r="I24" s="49" t="s">
        <v>103</v>
      </c>
      <c r="J24" s="50" t="s">
        <v>104</v>
      </c>
      <c r="K24" s="49">
        <v>16265</v>
      </c>
      <c r="L24" s="49" t="s">
        <v>105</v>
      </c>
      <c r="M24" s="50" t="s">
        <v>84</v>
      </c>
      <c r="N24" s="50" t="s">
        <v>106</v>
      </c>
      <c r="O24" s="51" t="s">
        <v>107</v>
      </c>
      <c r="P24" s="52" t="s">
        <v>108</v>
      </c>
    </row>
    <row r="25" spans="1:16" ht="12.75" customHeight="1" thickBot="1" x14ac:dyDescent="0.25">
      <c r="A25" s="10" t="str">
        <f t="shared" si="0"/>
        <v>VSB 48 </v>
      </c>
      <c r="B25" s="3" t="str">
        <f t="shared" si="1"/>
        <v>I</v>
      </c>
      <c r="C25" s="10">
        <f t="shared" si="2"/>
        <v>54792.1371</v>
      </c>
      <c r="D25" s="12" t="str">
        <f t="shared" si="3"/>
        <v>vis</v>
      </c>
      <c r="E25" s="48">
        <f>VLOOKUP(C25,aCTIVE!C$21:E$973,3,FALSE)</f>
        <v>2788.4922616197327</v>
      </c>
      <c r="F25" s="3" t="s">
        <v>56</v>
      </c>
      <c r="G25" s="12" t="str">
        <f t="shared" si="4"/>
        <v>54792.1371</v>
      </c>
      <c r="H25" s="10">
        <f t="shared" si="5"/>
        <v>16522</v>
      </c>
      <c r="I25" s="49" t="s">
        <v>109</v>
      </c>
      <c r="J25" s="50" t="s">
        <v>110</v>
      </c>
      <c r="K25" s="49">
        <v>16522</v>
      </c>
      <c r="L25" s="49" t="s">
        <v>111</v>
      </c>
      <c r="M25" s="50" t="s">
        <v>84</v>
      </c>
      <c r="N25" s="50" t="s">
        <v>112</v>
      </c>
      <c r="O25" s="51" t="s">
        <v>113</v>
      </c>
      <c r="P25" s="52" t="s">
        <v>114</v>
      </c>
    </row>
    <row r="26" spans="1:16" ht="12.75" customHeight="1" thickBot="1" x14ac:dyDescent="0.25">
      <c r="A26" s="10" t="str">
        <f t="shared" si="0"/>
        <v>VSB 48 </v>
      </c>
      <c r="B26" s="3" t="str">
        <f t="shared" si="1"/>
        <v>I</v>
      </c>
      <c r="C26" s="10">
        <f t="shared" si="2"/>
        <v>54820.097900000001</v>
      </c>
      <c r="D26" s="12" t="str">
        <f t="shared" si="3"/>
        <v>vis</v>
      </c>
      <c r="E26" s="48">
        <f>VLOOKUP(C26,aCTIVE!C$21:E$973,3,FALSE)</f>
        <v>2822.5086279387524</v>
      </c>
      <c r="F26" s="3" t="s">
        <v>56</v>
      </c>
      <c r="G26" s="12" t="str">
        <f t="shared" si="4"/>
        <v>54820.0979</v>
      </c>
      <c r="H26" s="10">
        <f t="shared" si="5"/>
        <v>16541</v>
      </c>
      <c r="I26" s="49" t="s">
        <v>115</v>
      </c>
      <c r="J26" s="50" t="s">
        <v>116</v>
      </c>
      <c r="K26" s="49">
        <v>16541</v>
      </c>
      <c r="L26" s="49" t="s">
        <v>117</v>
      </c>
      <c r="M26" s="50" t="s">
        <v>84</v>
      </c>
      <c r="N26" s="50" t="s">
        <v>112</v>
      </c>
      <c r="O26" s="51" t="s">
        <v>113</v>
      </c>
      <c r="P26" s="52" t="s">
        <v>114</v>
      </c>
    </row>
    <row r="27" spans="1:16" ht="12.75" customHeight="1" thickBot="1" x14ac:dyDescent="0.25">
      <c r="A27" s="10" t="str">
        <f t="shared" si="0"/>
        <v>VSB 48 </v>
      </c>
      <c r="B27" s="3" t="str">
        <f t="shared" si="1"/>
        <v>I</v>
      </c>
      <c r="C27" s="10">
        <f t="shared" si="2"/>
        <v>54829.950799999999</v>
      </c>
      <c r="D27" s="12" t="str">
        <f t="shared" si="3"/>
        <v>vis</v>
      </c>
      <c r="E27" s="48">
        <f>VLOOKUP(C27,aCTIVE!C$21:E$973,3,FALSE)</f>
        <v>2834.4954042722115</v>
      </c>
      <c r="F27" s="3" t="s">
        <v>56</v>
      </c>
      <c r="G27" s="12" t="str">
        <f t="shared" si="4"/>
        <v>54829.9508</v>
      </c>
      <c r="H27" s="10">
        <f t="shared" si="5"/>
        <v>16548</v>
      </c>
      <c r="I27" s="49" t="s">
        <v>118</v>
      </c>
      <c r="J27" s="50" t="s">
        <v>119</v>
      </c>
      <c r="K27" s="49">
        <v>16548</v>
      </c>
      <c r="L27" s="49" t="s">
        <v>120</v>
      </c>
      <c r="M27" s="50" t="s">
        <v>84</v>
      </c>
      <c r="N27" s="50" t="s">
        <v>112</v>
      </c>
      <c r="O27" s="51" t="s">
        <v>113</v>
      </c>
      <c r="P27" s="52" t="s">
        <v>114</v>
      </c>
    </row>
    <row r="28" spans="1:16" ht="12.75" customHeight="1" thickBot="1" x14ac:dyDescent="0.25">
      <c r="A28" s="10" t="str">
        <f t="shared" si="0"/>
        <v>VSB 59 </v>
      </c>
      <c r="B28" s="3" t="str">
        <f t="shared" si="1"/>
        <v>I</v>
      </c>
      <c r="C28" s="10">
        <f t="shared" si="2"/>
        <v>56669.910199999998</v>
      </c>
      <c r="D28" s="12" t="str">
        <f t="shared" si="3"/>
        <v>vis</v>
      </c>
      <c r="E28" s="48">
        <f>VLOOKUP(C28,aCTIVE!C$21:E$973,3,FALSE)</f>
        <v>5072.9411197925738</v>
      </c>
      <c r="F28" s="3" t="s">
        <v>56</v>
      </c>
      <c r="G28" s="12" t="str">
        <f t="shared" si="4"/>
        <v>56669.9102</v>
      </c>
      <c r="H28" s="10">
        <f t="shared" si="5"/>
        <v>17835</v>
      </c>
      <c r="I28" s="49" t="s">
        <v>130</v>
      </c>
      <c r="J28" s="50" t="s">
        <v>131</v>
      </c>
      <c r="K28" s="49">
        <v>17835</v>
      </c>
      <c r="L28" s="49" t="s">
        <v>132</v>
      </c>
      <c r="M28" s="50" t="s">
        <v>84</v>
      </c>
      <c r="N28" s="50" t="s">
        <v>106</v>
      </c>
      <c r="O28" s="51" t="s">
        <v>113</v>
      </c>
      <c r="P28" s="52" t="s">
        <v>133</v>
      </c>
    </row>
    <row r="29" spans="1:16" x14ac:dyDescent="0.2">
      <c r="B29" s="3"/>
      <c r="F29" s="3"/>
    </row>
    <row r="30" spans="1:16" x14ac:dyDescent="0.2">
      <c r="B30" s="3"/>
      <c r="F30" s="3"/>
    </row>
    <row r="31" spans="1:16" x14ac:dyDescent="0.2">
      <c r="B31" s="3"/>
      <c r="F31" s="3"/>
    </row>
    <row r="32" spans="1:16" x14ac:dyDescent="0.2">
      <c r="B32" s="3"/>
      <c r="F32" s="3"/>
    </row>
    <row r="33" spans="2:6" x14ac:dyDescent="0.2">
      <c r="B33" s="3"/>
      <c r="F33" s="3"/>
    </row>
    <row r="34" spans="2:6" x14ac:dyDescent="0.2">
      <c r="B34" s="3"/>
      <c r="F34" s="3"/>
    </row>
    <row r="35" spans="2:6" x14ac:dyDescent="0.2">
      <c r="B35" s="3"/>
      <c r="F35" s="3"/>
    </row>
    <row r="36" spans="2:6" x14ac:dyDescent="0.2">
      <c r="B36" s="3"/>
      <c r="F36" s="3"/>
    </row>
    <row r="37" spans="2:6" x14ac:dyDescent="0.2">
      <c r="B37" s="3"/>
      <c r="F37" s="3"/>
    </row>
    <row r="38" spans="2:6" x14ac:dyDescent="0.2">
      <c r="B38" s="3"/>
      <c r="F38" s="3"/>
    </row>
    <row r="39" spans="2:6" x14ac:dyDescent="0.2">
      <c r="B39" s="3"/>
      <c r="F39" s="3"/>
    </row>
    <row r="40" spans="2:6" x14ac:dyDescent="0.2">
      <c r="B40" s="3"/>
      <c r="F40" s="3"/>
    </row>
    <row r="41" spans="2:6" x14ac:dyDescent="0.2">
      <c r="B41" s="3"/>
      <c r="F41" s="3"/>
    </row>
    <row r="42" spans="2:6" x14ac:dyDescent="0.2">
      <c r="B42" s="3"/>
      <c r="F42" s="3"/>
    </row>
    <row r="43" spans="2:6" x14ac:dyDescent="0.2">
      <c r="B43" s="3"/>
      <c r="F43" s="3"/>
    </row>
    <row r="44" spans="2:6" x14ac:dyDescent="0.2">
      <c r="B44" s="3"/>
      <c r="F44" s="3"/>
    </row>
    <row r="45" spans="2:6" x14ac:dyDescent="0.2">
      <c r="B45" s="3"/>
      <c r="F45" s="3"/>
    </row>
    <row r="46" spans="2:6" x14ac:dyDescent="0.2">
      <c r="B46" s="3"/>
      <c r="F46" s="3"/>
    </row>
    <row r="47" spans="2:6" x14ac:dyDescent="0.2">
      <c r="B47" s="3"/>
      <c r="F47" s="3"/>
    </row>
    <row r="48" spans="2:6" x14ac:dyDescent="0.2">
      <c r="B48" s="3"/>
      <c r="F48" s="3"/>
    </row>
    <row r="49" spans="2:6" x14ac:dyDescent="0.2">
      <c r="B49" s="3"/>
      <c r="F49" s="3"/>
    </row>
    <row r="50" spans="2:6" x14ac:dyDescent="0.2">
      <c r="B50" s="3"/>
      <c r="F50" s="3"/>
    </row>
    <row r="51" spans="2:6" x14ac:dyDescent="0.2">
      <c r="B51" s="3"/>
      <c r="F51" s="3"/>
    </row>
    <row r="52" spans="2:6" x14ac:dyDescent="0.2">
      <c r="B52" s="3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</sheetData>
  <phoneticPr fontId="7" type="noConversion"/>
  <hyperlinks>
    <hyperlink ref="P11" r:id="rId1" display="http://var.astro.cz/oejv/issues/oejv0073.pdf"/>
    <hyperlink ref="P21" r:id="rId2" display="http://vsolj.cetus-net.org/no42.pdf"/>
    <hyperlink ref="P22" r:id="rId3" display="http://www.konkoly.hu/cgi-bin/IBVS?5806"/>
    <hyperlink ref="P23" r:id="rId4" display="http://var.astro.cz/oejv/issues/oejv0073.pdf"/>
    <hyperlink ref="P24" r:id="rId5" display="http://vsolj.cetus-net.org/no46.pdf"/>
    <hyperlink ref="P25" r:id="rId6" display="http://vsolj.cetus-net.org/no48.pdf"/>
    <hyperlink ref="P26" r:id="rId7" display="http://vsolj.cetus-net.org/no48.pdf"/>
    <hyperlink ref="P27" r:id="rId8" display="http://vsolj.cetus-net.org/no48.pdf"/>
    <hyperlink ref="P12" r:id="rId9" display="http://www.konkoly.hu/cgi-bin/IBVS?6029"/>
    <hyperlink ref="P13" r:id="rId10" display="http://www.konkoly.hu/cgi-bin/IBVS?6063"/>
    <hyperlink ref="P28" r:id="rId11" display="http://vsolj.cetus-net.org/vsoljno59.pdf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2023-08-21T06:14:21Z</dcterms:modified>
</cp:coreProperties>
</file>