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63FD63A-14F2-4533-A8EA-FA02A71EE504}" xr6:coauthVersionLast="47" xr6:coauthVersionMax="47" xr10:uidLastSave="{00000000-0000-0000-0000-000000000000}"/>
  <bookViews>
    <workbookView xWindow="13740" yWindow="49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K29" i="1" s="1"/>
  <c r="Q29" i="1"/>
  <c r="Q25" i="1"/>
  <c r="C21" i="1"/>
  <c r="Q21" i="1"/>
  <c r="Q27" i="1"/>
  <c r="G14" i="2"/>
  <c r="C14" i="2"/>
  <c r="G15" i="2"/>
  <c r="C15" i="2"/>
  <c r="E15" i="2"/>
  <c r="G13" i="2"/>
  <c r="C13" i="2"/>
  <c r="E13" i="2"/>
  <c r="G12" i="2"/>
  <c r="C12" i="2"/>
  <c r="E12" i="2"/>
  <c r="G11" i="2"/>
  <c r="C11" i="2"/>
  <c r="H14" i="2"/>
  <c r="B14" i="2"/>
  <c r="D14" i="2"/>
  <c r="A14" i="2"/>
  <c r="H15" i="2"/>
  <c r="B15" i="2"/>
  <c r="D15" i="2"/>
  <c r="A15" i="2"/>
  <c r="H13" i="2"/>
  <c r="B13" i="2"/>
  <c r="D13" i="2"/>
  <c r="A13" i="2"/>
  <c r="H12" i="2"/>
  <c r="B12" i="2"/>
  <c r="D12" i="2"/>
  <c r="A12" i="2"/>
  <c r="H11" i="2"/>
  <c r="B11" i="2"/>
  <c r="D11" i="2"/>
  <c r="A11" i="2"/>
  <c r="C9" i="1"/>
  <c r="Q28" i="1"/>
  <c r="D9" i="1"/>
  <c r="F17" i="1"/>
  <c r="C17" i="1"/>
  <c r="Q26" i="1"/>
  <c r="Q24" i="1"/>
  <c r="C7" i="1"/>
  <c r="E25" i="1"/>
  <c r="F25" i="1"/>
  <c r="C8" i="1"/>
  <c r="E27" i="1"/>
  <c r="F27" i="1"/>
  <c r="G27" i="1"/>
  <c r="K27" i="1"/>
  <c r="Q22" i="1"/>
  <c r="Q23" i="1"/>
  <c r="E22" i="1"/>
  <c r="F22" i="1"/>
  <c r="G22" i="1"/>
  <c r="I22" i="1"/>
  <c r="E26" i="1"/>
  <c r="F26" i="1"/>
  <c r="G26" i="1"/>
  <c r="K26" i="1"/>
  <c r="E24" i="1"/>
  <c r="F24" i="1"/>
  <c r="G24" i="1"/>
  <c r="K24" i="1"/>
  <c r="E11" i="2"/>
  <c r="E14" i="2"/>
  <c r="E28" i="1"/>
  <c r="F28" i="1"/>
  <c r="G28" i="1"/>
  <c r="K28" i="1"/>
  <c r="E23" i="1"/>
  <c r="F23" i="1"/>
  <c r="G23" i="1"/>
  <c r="J23" i="1"/>
  <c r="E21" i="1"/>
  <c r="F21" i="1"/>
  <c r="G21" i="1"/>
  <c r="G25" i="1"/>
  <c r="K25" i="1"/>
  <c r="J21" i="1"/>
  <c r="C12" i="1"/>
  <c r="C11" i="1"/>
  <c r="O29" i="1" l="1"/>
  <c r="O26" i="1"/>
  <c r="C15" i="1"/>
  <c r="O27" i="1"/>
  <c r="O23" i="1"/>
  <c r="O21" i="1"/>
  <c r="O22" i="1"/>
  <c r="O28" i="1"/>
  <c r="O25" i="1"/>
  <c r="O24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<sst xmlns="http://schemas.openxmlformats.org/spreadsheetml/2006/main" count="112" uniqueCount="82">
  <si>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</si>
  <si>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</si>
  <si>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</si>
  <si>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</si>
  <si>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</si>
  <si>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</si>
  <si>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</si>
  <si>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</si>
  <si>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</si>
  <si>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</si>
  <si>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</si>
  <si>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</si>
  <si>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</si>
  <si>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</si>
  <si>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</si>
  <si>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</si>
  <si>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</si>
  <si>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</si>
  <si>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</si>
  <si>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</si>
  <si>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</si>
  <si>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</si>
  <si>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</si>
  <si>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</si>
  <si>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</si>
  <si>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EA</t>
  </si>
  <si>
    <t>ROTSE</t>
  </si>
  <si>
    <t>I</t>
  </si>
  <si>
    <t>GZ Gem / GSC 01332-01013</t>
  </si>
  <si>
    <t>IBVS 5690</t>
  </si>
  <si>
    <t>IBVS 5802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</si>
  <si>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</si>
  <si>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</si>
  <si>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</si>
  <si>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</si>
  <si>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</si>
  <si>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</si>
  <si>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</si>
  <si>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IBVS 5874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</si>
  <si>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</si>
  <si>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</si>
  <si>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</si>
  <si>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</si>
  <si>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</si>
  <si>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</si>
  <si>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</si>
  <si>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</si>
  <si>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</si>
  <si>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</si>
  <si>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</si>
  <si>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2453342.9039 </t>
  </si>
  <si>
    <t> 03.12.2004 09:41 </t>
  </si>
  <si>
    <t> -0.1090 </t>
  </si>
  <si>
    <t>C </t>
  </si>
  <si>
    <t>o</t>
  </si>
  <si>
    <t> T.Krajci </t>
  </si>
  <si>
    <t>IBVS 5690 </t>
  </si>
  <si>
    <t>2453383.9423 </t>
  </si>
  <si>
    <t> 13.01.2005 10:36 </t>
  </si>
  <si>
    <t> -0.1179 </t>
  </si>
  <si>
    <t>2454115.2717 </t>
  </si>
  <si>
    <t> 14.01.2007 18:31 </t>
  </si>
  <si>
    <t> 0.0197 </t>
  </si>
  <si>
    <t>-I</t>
  </si>
  <si>
    <t> P.Frank </t>
  </si>
  <si>
    <t>BAVM 186 </t>
  </si>
  <si>
    <t>2454506.3515 </t>
  </si>
  <si>
    <t> 09.02.2008 20:26 </t>
  </si>
  <si>
    <t>31055.5</t>
  </si>
  <si>
    <t> -0.0743 </t>
  </si>
  <si>
    <t> H.Steinbach </t>
  </si>
  <si>
    <t>BAVM 225 </t>
  </si>
  <si>
    <t>2454532.3889 </t>
  </si>
  <si>
    <t> 06.03.2008 21:20 </t>
  </si>
  <si>
    <t>31098</t>
  </si>
  <si>
    <t>BAVM 201 </t>
  </si>
  <si>
    <t>II</t>
  </si>
  <si>
    <t>JAVSO..44…69</t>
  </si>
  <si>
    <t>s5</t>
  </si>
  <si>
    <t>s6</t>
  </si>
  <si>
    <t>s7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</si>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</sst>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7" formatCode="0.00000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2" borderId="0" xfId="0" applyFont="1" applyFill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7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3" borderId="11" xfId="0" applyFont="1" applyFill="1" applyBorder="1" applyAlignment="1">
      <alignment horizontal="left" vertical="top" wrapText="1" indent="1"/>
    </xf>
    <xf numFmtId="0" fontId="5" fillId="3" borderId="11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right" vertical="top" wrapText="1"/>
    </xf>
    <xf numFmtId="0" fontId="18" fillId="3" borderId="11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77" fontId="22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GZ Gem - O-C Diagr.</a:t>
            </a:r>
          </a:p>
        </c:rich>
      </c:tx>
      <c:layout>
        <c:manualLayout>
          <c:xMode val="edge"/>
          <c:yMode val="edge"/>
          <c:x val="0.37479840060380171"/>
          <c:y val="3.41615096278102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906854902912253"/>
          <c:w val="0.81906365094252553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</c:v>
                </c:pt>
                <c:pt idx="1">
                  <c:v>26001</c:v>
                </c:pt>
                <c:pt idx="2">
                  <c:v>29156.5</c:v>
                </c:pt>
                <c:pt idx="3">
                  <c:v>29223.5</c:v>
                </c:pt>
                <c:pt idx="4">
                  <c:v>30403</c:v>
                </c:pt>
                <c:pt idx="5">
                  <c:v>30417</c:v>
                </c:pt>
                <c:pt idx="6">
                  <c:v>31055.5</c:v>
                </c:pt>
                <c:pt idx="7">
                  <c:v>31098</c:v>
                </c:pt>
                <c:pt idx="8">
                  <c:v>38696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BB-41A9-8F24-7FCFFDB8451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6.9999999999999999E-4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6.9999999999999999E-4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</c:v>
                </c:pt>
                <c:pt idx="1">
                  <c:v>26001</c:v>
                </c:pt>
                <c:pt idx="2">
                  <c:v>29156.5</c:v>
                </c:pt>
                <c:pt idx="3">
                  <c:v>29223.5</c:v>
                </c:pt>
                <c:pt idx="4">
                  <c:v>30403</c:v>
                </c:pt>
                <c:pt idx="5">
                  <c:v>30417</c:v>
                </c:pt>
                <c:pt idx="6">
                  <c:v>31055.5</c:v>
                </c:pt>
                <c:pt idx="7">
                  <c:v>31098</c:v>
                </c:pt>
                <c:pt idx="8">
                  <c:v>38696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4.9355000002833549E-2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BB-41A9-8F24-7FCFFDB8451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6.9999999999999999E-4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6.9999999999999999E-4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</c:v>
                </c:pt>
                <c:pt idx="1">
                  <c:v>26001</c:v>
                </c:pt>
                <c:pt idx="2">
                  <c:v>29156.5</c:v>
                </c:pt>
                <c:pt idx="3">
                  <c:v>29223.5</c:v>
                </c:pt>
                <c:pt idx="4">
                  <c:v>30403</c:v>
                </c:pt>
                <c:pt idx="5">
                  <c:v>30417</c:v>
                </c:pt>
                <c:pt idx="6">
                  <c:v>31055.5</c:v>
                </c:pt>
                <c:pt idx="7">
                  <c:v>31098</c:v>
                </c:pt>
                <c:pt idx="8">
                  <c:v>38696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0">
                  <c:v>1.2252900000021327</c:v>
                </c:pt>
                <c:pt idx="2">
                  <c:v>-0.1090425000002142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BB-41A9-8F24-7FCFFDB8451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6.9999999999999999E-4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6.9999999999999999E-4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</c:v>
                </c:pt>
                <c:pt idx="1">
                  <c:v>26001</c:v>
                </c:pt>
                <c:pt idx="2">
                  <c:v>29156.5</c:v>
                </c:pt>
                <c:pt idx="3">
                  <c:v>29223.5</c:v>
                </c:pt>
                <c:pt idx="4">
                  <c:v>30403</c:v>
                </c:pt>
                <c:pt idx="5">
                  <c:v>30417</c:v>
                </c:pt>
                <c:pt idx="6">
                  <c:v>31055.5</c:v>
                </c:pt>
                <c:pt idx="7">
                  <c:v>31098</c:v>
                </c:pt>
                <c:pt idx="8">
                  <c:v>38696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3">
                  <c:v>-0.11785749999398831</c:v>
                </c:pt>
                <c:pt idx="4">
                  <c:v>2.1165000005566981E-2</c:v>
                </c:pt>
                <c:pt idx="5">
                  <c:v>1.9735000001674052E-2</c:v>
                </c:pt>
                <c:pt idx="6">
                  <c:v>-7.4297499995736871E-2</c:v>
                </c:pt>
                <c:pt idx="7">
                  <c:v>-7.4310000003606547E-2</c:v>
                </c:pt>
                <c:pt idx="8">
                  <c:v>7.5680000001739245E-2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BB-41A9-8F24-7FCFFDB8451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6.9999999999999999E-4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6.9999999999999999E-4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</c:v>
                </c:pt>
                <c:pt idx="1">
                  <c:v>26001</c:v>
                </c:pt>
                <c:pt idx="2">
                  <c:v>29156.5</c:v>
                </c:pt>
                <c:pt idx="3">
                  <c:v>29223.5</c:v>
                </c:pt>
                <c:pt idx="4">
                  <c:v>30403</c:v>
                </c:pt>
                <c:pt idx="5">
                  <c:v>30417</c:v>
                </c:pt>
                <c:pt idx="6">
                  <c:v>31055.5</c:v>
                </c:pt>
                <c:pt idx="7">
                  <c:v>31098</c:v>
                </c:pt>
                <c:pt idx="8">
                  <c:v>38696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BB-41A9-8F24-7FCFFDB8451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6.9999999999999999E-4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6.9999999999999999E-4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</c:v>
                </c:pt>
                <c:pt idx="1">
                  <c:v>26001</c:v>
                </c:pt>
                <c:pt idx="2">
                  <c:v>29156.5</c:v>
                </c:pt>
                <c:pt idx="3">
                  <c:v>29223.5</c:v>
                </c:pt>
                <c:pt idx="4">
                  <c:v>30403</c:v>
                </c:pt>
                <c:pt idx="5">
                  <c:v>30417</c:v>
                </c:pt>
                <c:pt idx="6">
                  <c:v>31055.5</c:v>
                </c:pt>
                <c:pt idx="7">
                  <c:v>31098</c:v>
                </c:pt>
                <c:pt idx="8">
                  <c:v>38696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BB-41A9-8F24-7FCFFDB8451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6.9999999999999999E-4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6.9999999999999999E-4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</c:v>
                </c:pt>
                <c:pt idx="1">
                  <c:v>26001</c:v>
                </c:pt>
                <c:pt idx="2">
                  <c:v>29156.5</c:v>
                </c:pt>
                <c:pt idx="3">
                  <c:v>29223.5</c:v>
                </c:pt>
                <c:pt idx="4">
                  <c:v>30403</c:v>
                </c:pt>
                <c:pt idx="5">
                  <c:v>30417</c:v>
                </c:pt>
                <c:pt idx="6">
                  <c:v>31055.5</c:v>
                </c:pt>
                <c:pt idx="7">
                  <c:v>31098</c:v>
                </c:pt>
                <c:pt idx="8">
                  <c:v>38696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BB-41A9-8F24-7FCFFDB8451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</c:v>
                </c:pt>
                <c:pt idx="1">
                  <c:v>26001</c:v>
                </c:pt>
                <c:pt idx="2">
                  <c:v>29156.5</c:v>
                </c:pt>
                <c:pt idx="3">
                  <c:v>29223.5</c:v>
                </c:pt>
                <c:pt idx="4">
                  <c:v>30403</c:v>
                </c:pt>
                <c:pt idx="5">
                  <c:v>30417</c:v>
                </c:pt>
                <c:pt idx="6">
                  <c:v>31055.5</c:v>
                </c:pt>
                <c:pt idx="7">
                  <c:v>31098</c:v>
                </c:pt>
                <c:pt idx="8">
                  <c:v>38696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1.09731293119261</c:v>
                </c:pt>
                <c:pt idx="1">
                  <c:v>0.16102476845943647</c:v>
                </c:pt>
                <c:pt idx="2">
                  <c:v>4.7404905462685054E-2</c:v>
                </c:pt>
                <c:pt idx="3">
                  <c:v>4.4992441250743198E-2</c:v>
                </c:pt>
                <c:pt idx="4">
                  <c:v>2.5222690420065863E-3</c:v>
                </c:pt>
                <c:pt idx="5">
                  <c:v>2.0181720424963245E-3</c:v>
                </c:pt>
                <c:pt idx="6">
                  <c:v>-2.0972251828023536E-2</c:v>
                </c:pt>
                <c:pt idx="7">
                  <c:v>-2.25025462908226E-2</c:v>
                </c:pt>
                <c:pt idx="8">
                  <c:v>-0.29608318931072986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BB-41A9-8F24-7FCFFDB84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29400"/>
        <c:axId val="1"/>
      </c:scatterChart>
      <c:valAx>
        <c:axId val="690129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35404978047468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064051626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29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347351371062462"/>
          <c:y val="0.91925610216154174"/>
          <c:w val="0.78029147002828192"/>
          <c:h val="6.21117773122396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323850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552D560B-8E5A-B152-CE0A-E9214DBE6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86" TargetMode="External"/><Relationship Id="rId2" Type="http://schemas.openxmlformats.org/officeDocument/2006/relationships/hyperlink" Target="http://www.konkoly.hu/cgi-bin/IBVS?5690" TargetMode="External"/><Relationship Id="rId1" Type="http://schemas.openxmlformats.org/officeDocument/2006/relationships/hyperlink" Target="http://www.konkoly.hu/cgi-bin/IBVS?5690" TargetMode="External"/><Relationship Id="rId5" Type="http://schemas.openxmlformats.org/officeDocument/2006/relationships/hyperlink" Target="http://www.bav-astro.de/sfs/BAVM_link.php?BAVMnr=201" TargetMode="External"/><Relationship Id="rId4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workbookViewId="0">
      <selection activeCell="F13" sqref="F1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28515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 x14ac:dyDescent="0.3">
      <c r="A1" s="1" t="s">
        <v>28</v>
      </c>
      <c r="B1" s="1"/>
    </row>
    <row r="2" spans="1:5" x14ac:dyDescent="0.2">
      <c r="A2" t="s">
        <v>24</v>
      </c>
      <c r="B2" t="s">
        <v>25</v>
      </c>
    </row>
    <row r="4" spans="1:5" ht="14.25" thickTop="1" thickBot="1" x14ac:dyDescent="0.25">
      <c r="A4" s="7" t="s">
        <v>0</v>
      </c>
      <c r="B4" s="7"/>
      <c r="C4" s="3">
        <v>35480.428999999996</v>
      </c>
      <c r="D4" s="4">
        <v>0.612645</v>
      </c>
    </row>
    <row r="5" spans="1:5" ht="13.5" thickTop="1" x14ac:dyDescent="0.2">
      <c r="A5" s="17" t="s">
        <v>31</v>
      </c>
      <c r="B5" s="18"/>
      <c r="C5" s="19">
        <v>-9.5</v>
      </c>
      <c r="D5" s="18" t="s">
        <v>32</v>
      </c>
    </row>
    <row r="6" spans="1:5" x14ac:dyDescent="0.2">
      <c r="A6" s="7" t="s">
        <v>1</v>
      </c>
    </row>
    <row r="7" spans="1:5" x14ac:dyDescent="0.2">
      <c r="A7" t="s">
        <v>2</v>
      </c>
      <c r="C7">
        <f>+C4</f>
        <v>35480.428999999996</v>
      </c>
    </row>
    <row r="8" spans="1:5" x14ac:dyDescent="0.2">
      <c r="A8" t="s">
        <v>3</v>
      </c>
      <c r="C8">
        <f>+D4</f>
        <v>0.612645</v>
      </c>
    </row>
    <row r="9" spans="1:5" x14ac:dyDescent="0.2">
      <c r="A9" s="32" t="s">
        <v>37</v>
      </c>
      <c r="B9" s="33">
        <v>21</v>
      </c>
      <c r="C9" s="30" t="str">
        <f>"F"&amp;B9</f>
        <v>F21</v>
      </c>
      <c r="D9" s="31" t="str">
        <f>"G"&amp;B9</f>
        <v>G21</v>
      </c>
    </row>
    <row r="10" spans="1:5" ht="13.5" thickBot="1" x14ac:dyDescent="0.25">
      <c r="A10" s="18"/>
      <c r="B10" s="18"/>
      <c r="C10" s="6" t="s">
        <v>20</v>
      </c>
      <c r="D10" s="6" t="s">
        <v>21</v>
      </c>
      <c r="E10" s="18"/>
    </row>
    <row r="11" spans="1:5" x14ac:dyDescent="0.2">
      <c r="A11" s="18" t="s">
        <v>16</v>
      </c>
      <c r="B11" s="18"/>
      <c r="C11" s="29">
        <f ca="1">INTERCEPT(INDIRECT($D$9):G992,INDIRECT($C$9):F992)</f>
        <v>1.0972409173355371</v>
      </c>
      <c r="D11" s="5"/>
      <c r="E11" s="18"/>
    </row>
    <row r="12" spans="1:5" x14ac:dyDescent="0.2">
      <c r="A12" s="18" t="s">
        <v>17</v>
      </c>
      <c r="B12" s="18"/>
      <c r="C12" s="29">
        <f ca="1">SLOPE(INDIRECT($D$9):G992,INDIRECT($C$9):F992)</f>
        <v>-3.6006928536444775E-5</v>
      </c>
      <c r="D12" s="5"/>
      <c r="E12" s="18"/>
    </row>
    <row r="13" spans="1:5" x14ac:dyDescent="0.2">
      <c r="A13" s="18" t="s">
        <v>19</v>
      </c>
      <c r="B13" s="18"/>
      <c r="C13" s="5" t="s">
        <v>14</v>
      </c>
      <c r="D13" s="5"/>
      <c r="E13" s="18"/>
    </row>
    <row r="14" spans="1:5" x14ac:dyDescent="0.2">
      <c r="A14" s="18"/>
      <c r="B14" s="18"/>
      <c r="C14" s="18"/>
      <c r="D14" s="18"/>
      <c r="E14" s="18"/>
    </row>
    <row r="15" spans="1:5" x14ac:dyDescent="0.2">
      <c r="A15" s="20" t="s">
        <v>18</v>
      </c>
      <c r="B15" s="18"/>
      <c r="C15" s="21">
        <f ca="1">(C7+C11)+(C8+C12)*INT(MAX(F21:F3533))</f>
        <v>59187.043836810684</v>
      </c>
    </row>
    <row r="16" spans="1:5" x14ac:dyDescent="0.2">
      <c r="A16" s="24" t="s">
        <v>4</v>
      </c>
      <c r="B16" s="18"/>
      <c r="C16" s="25">
        <f ca="1">+C8+C12</f>
        <v>0.61260899307146355</v>
      </c>
    </row>
    <row r="17" spans="1:17" ht="13.5" thickBot="1" x14ac:dyDescent="0.25">
      <c r="A17" s="22" t="s">
        <v>35</v>
      </c>
      <c r="B17" s="18"/>
      <c r="C17" s="18">
        <f>COUNT(C21:C2191)</f>
        <v>9</v>
      </c>
      <c r="E17" s="22" t="s">
        <v>33</v>
      </c>
      <c r="F17" s="23">
        <f ca="1">TODAY()+15018.5-B5/24</f>
        <v>59958.5</v>
      </c>
    </row>
    <row r="18" spans="1:17" ht="14.25" thickTop="1" thickBot="1" x14ac:dyDescent="0.25">
      <c r="A18" s="24" t="s">
        <v>5</v>
      </c>
      <c r="B18" s="18"/>
      <c r="C18" s="27">
        <f ca="1">+C15</f>
        <v>59187.043836810684</v>
      </c>
      <c r="D18" s="28">
        <f ca="1">+C16</f>
        <v>0.61260899307146355</v>
      </c>
      <c r="E18" s="22" t="s">
        <v>34</v>
      </c>
      <c r="F18" s="23">
        <f ca="1">ROUND(2*(F17-C15)/C16,0)/2+1</f>
        <v>1260.5</v>
      </c>
    </row>
    <row r="19" spans="1:17" ht="13.5" thickTop="1" x14ac:dyDescent="0.2">
      <c r="E19" s="22" t="s">
        <v>36</v>
      </c>
      <c r="F19" s="26">
        <f ca="1">+C15+C16*F18-15018.5-C5/24</f>
        <v>44941.133305910596</v>
      </c>
    </row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46</v>
      </c>
      <c r="I20" s="9" t="s">
        <v>49</v>
      </c>
      <c r="J20" s="9" t="s">
        <v>43</v>
      </c>
      <c r="K20" s="9" t="s">
        <v>41</v>
      </c>
      <c r="L20" s="9" t="s">
        <v>78</v>
      </c>
      <c r="M20" s="9" t="s">
        <v>79</v>
      </c>
      <c r="N20" s="9" t="s">
        <v>80</v>
      </c>
      <c r="O20" s="9" t="s">
        <v>23</v>
      </c>
      <c r="P20" s="8" t="s">
        <v>22</v>
      </c>
      <c r="Q20" s="6" t="s">
        <v>15</v>
      </c>
    </row>
    <row r="21" spans="1:17" x14ac:dyDescent="0.2">
      <c r="A21" t="s">
        <v>12</v>
      </c>
      <c r="B21" s="5"/>
      <c r="C21" s="14">
        <f>+C4</f>
        <v>35480.428999999996</v>
      </c>
      <c r="D21" s="14" t="s">
        <v>14</v>
      </c>
      <c r="E21">
        <f t="shared" ref="E21:E28" si="0">+(C21-C$7)/C$8</f>
        <v>0</v>
      </c>
      <c r="F21" s="10">
        <f>ROUND(2*E21,0)/2-2</f>
        <v>-2</v>
      </c>
      <c r="G21">
        <f t="shared" ref="G21:G28" si="1">+C21-(C$7+F21*C$8)</f>
        <v>1.2252900000021327</v>
      </c>
      <c r="J21">
        <f>+G21</f>
        <v>1.2252900000021327</v>
      </c>
      <c r="O21">
        <f t="shared" ref="O21:O28" ca="1" si="2">+C$11+C$12*$F21</f>
        <v>1.09731293119261</v>
      </c>
      <c r="Q21" s="2">
        <f t="shared" ref="Q21:Q28" si="3">+C21-15018.5</f>
        <v>20461.928999999996</v>
      </c>
    </row>
    <row r="22" spans="1:17" x14ac:dyDescent="0.2">
      <c r="A22" t="s">
        <v>26</v>
      </c>
      <c r="B22" s="5" t="s">
        <v>27</v>
      </c>
      <c r="C22" s="14">
        <v>51409.860999999997</v>
      </c>
      <c r="D22" s="14"/>
      <c r="E22">
        <f t="shared" si="0"/>
        <v>26001.080560520368</v>
      </c>
      <c r="F22">
        <f t="shared" ref="F22:F28" si="4">ROUND(2*E22,0)/2</f>
        <v>26001</v>
      </c>
      <c r="G22">
        <f t="shared" si="1"/>
        <v>4.9355000002833549E-2</v>
      </c>
      <c r="I22">
        <f>G22</f>
        <v>4.9355000002833549E-2</v>
      </c>
      <c r="O22">
        <f t="shared" ca="1" si="2"/>
        <v>0.16102476845943647</v>
      </c>
      <c r="Q22" s="2">
        <f t="shared" si="3"/>
        <v>36391.360999999997</v>
      </c>
    </row>
    <row r="23" spans="1:17" x14ac:dyDescent="0.2">
      <c r="A23" s="11" t="s">
        <v>29</v>
      </c>
      <c r="B23" s="5" t="s">
        <v>27</v>
      </c>
      <c r="C23" s="14">
        <v>53342.903899999998</v>
      </c>
      <c r="D23" s="14">
        <v>2.0000000000000001E-4</v>
      </c>
      <c r="E23">
        <f t="shared" si="0"/>
        <v>29156.322013564139</v>
      </c>
      <c r="F23">
        <f t="shared" si="4"/>
        <v>29156.5</v>
      </c>
      <c r="G23">
        <f t="shared" si="1"/>
        <v>-0.1090425000002142</v>
      </c>
      <c r="J23">
        <f>G23</f>
        <v>-0.1090425000002142</v>
      </c>
      <c r="O23">
        <f t="shared" ca="1" si="2"/>
        <v>4.7404905462685054E-2</v>
      </c>
      <c r="Q23" s="2">
        <f t="shared" si="3"/>
        <v>38324.403899999998</v>
      </c>
    </row>
    <row r="24" spans="1:17" x14ac:dyDescent="0.2">
      <c r="A24" s="11" t="s">
        <v>29</v>
      </c>
      <c r="B24" s="12" t="s">
        <v>27</v>
      </c>
      <c r="C24" s="13">
        <v>53383.942300000002</v>
      </c>
      <c r="D24" s="13">
        <v>4.0000000000000002E-4</v>
      </c>
      <c r="E24">
        <f t="shared" si="0"/>
        <v>29223.307625133653</v>
      </c>
      <c r="F24">
        <f t="shared" si="4"/>
        <v>29223.5</v>
      </c>
      <c r="G24">
        <f t="shared" si="1"/>
        <v>-0.11785749999398831</v>
      </c>
      <c r="K24">
        <f>G24</f>
        <v>-0.11785749999398831</v>
      </c>
      <c r="O24">
        <f t="shared" ca="1" si="2"/>
        <v>4.4992441250743198E-2</v>
      </c>
      <c r="Q24" s="2">
        <f t="shared" si="3"/>
        <v>38365.442300000002</v>
      </c>
    </row>
    <row r="25" spans="1:17" x14ac:dyDescent="0.2">
      <c r="A25" s="53" t="s">
        <v>77</v>
      </c>
      <c r="B25" s="54" t="s">
        <v>27</v>
      </c>
      <c r="C25" s="55">
        <v>54106.696100000001</v>
      </c>
      <c r="D25" s="55">
        <v>2.0000000000000001E-4</v>
      </c>
      <c r="E25">
        <f t="shared" si="0"/>
        <v>30403.034546923594</v>
      </c>
      <c r="F25">
        <f t="shared" si="4"/>
        <v>30403</v>
      </c>
      <c r="G25">
        <f t="shared" si="1"/>
        <v>2.1165000005566981E-2</v>
      </c>
      <c r="K25">
        <f>G25</f>
        <v>2.1165000005566981E-2</v>
      </c>
      <c r="O25">
        <f t="shared" ca="1" si="2"/>
        <v>2.5222690420065863E-3</v>
      </c>
      <c r="Q25" s="2">
        <f t="shared" si="3"/>
        <v>39088.196100000001</v>
      </c>
    </row>
    <row r="26" spans="1:17" x14ac:dyDescent="0.2">
      <c r="A26" s="16" t="s">
        <v>30</v>
      </c>
      <c r="B26" s="12"/>
      <c r="C26" s="15">
        <v>54115.271699999998</v>
      </c>
      <c r="D26" s="15">
        <v>1E-3</v>
      </c>
      <c r="E26">
        <f t="shared" si="0"/>
        <v>30417.032212782284</v>
      </c>
      <c r="F26">
        <f t="shared" si="4"/>
        <v>30417</v>
      </c>
      <c r="G26">
        <f t="shared" si="1"/>
        <v>1.9735000001674052E-2</v>
      </c>
      <c r="K26">
        <f>G26</f>
        <v>1.9735000001674052E-2</v>
      </c>
      <c r="O26">
        <f t="shared" ca="1" si="2"/>
        <v>2.0181720424963245E-3</v>
      </c>
      <c r="Q26" s="2">
        <f t="shared" si="3"/>
        <v>39096.771699999998</v>
      </c>
    </row>
    <row r="27" spans="1:17" x14ac:dyDescent="0.2">
      <c r="A27" s="50" t="s">
        <v>71</v>
      </c>
      <c r="B27" s="51" t="s">
        <v>76</v>
      </c>
      <c r="C27" s="52">
        <v>54506.351499999997</v>
      </c>
      <c r="D27" s="52" t="s">
        <v>49</v>
      </c>
      <c r="E27">
        <f t="shared" si="0"/>
        <v>31055.37872666879</v>
      </c>
      <c r="F27">
        <f t="shared" si="4"/>
        <v>31055.5</v>
      </c>
      <c r="G27">
        <f t="shared" si="1"/>
        <v>-7.4297499995736871E-2</v>
      </c>
      <c r="K27">
        <f>G27</f>
        <v>-7.4297499995736871E-2</v>
      </c>
      <c r="O27">
        <f t="shared" ca="1" si="2"/>
        <v>-2.0972251828023536E-2</v>
      </c>
      <c r="Q27" s="2">
        <f t="shared" si="3"/>
        <v>39487.851499999997</v>
      </c>
    </row>
    <row r="28" spans="1:17" x14ac:dyDescent="0.2">
      <c r="A28" s="34" t="s">
        <v>38</v>
      </c>
      <c r="B28" s="35" t="s">
        <v>27</v>
      </c>
      <c r="C28" s="36">
        <v>54532.388899999998</v>
      </c>
      <c r="D28" s="36">
        <v>6.9999999999999999E-4</v>
      </c>
      <c r="E28">
        <f t="shared" si="0"/>
        <v>31097.878706265459</v>
      </c>
      <c r="F28">
        <f t="shared" si="4"/>
        <v>31098</v>
      </c>
      <c r="G28">
        <f t="shared" si="1"/>
        <v>-7.4310000003606547E-2</v>
      </c>
      <c r="K28">
        <f>G28</f>
        <v>-7.4310000003606547E-2</v>
      </c>
      <c r="O28">
        <f t="shared" ca="1" si="2"/>
        <v>-2.25025462908226E-2</v>
      </c>
      <c r="Q28" s="2">
        <f t="shared" si="3"/>
        <v>39513.888899999998</v>
      </c>
    </row>
    <row r="29" spans="1:17" x14ac:dyDescent="0.2">
      <c r="A29" s="56" t="s">
        <v>81</v>
      </c>
      <c r="B29" s="57" t="s">
        <v>27</v>
      </c>
      <c r="C29" s="58">
        <v>59187.4156</v>
      </c>
      <c r="D29" s="56">
        <v>3.5000000000000001E-3</v>
      </c>
      <c r="E29">
        <f t="shared" ref="E29" si="5">+(C29-C$7)/C$8</f>
        <v>38696.123529939854</v>
      </c>
      <c r="F29">
        <f t="shared" ref="F29" si="6">ROUND(2*E29,0)/2</f>
        <v>38696</v>
      </c>
      <c r="G29">
        <f t="shared" ref="G29" si="7">+C29-(C$7+F29*C$8)</f>
        <v>7.5680000001739245E-2</v>
      </c>
      <c r="K29">
        <f>G29</f>
        <v>7.5680000001739245E-2</v>
      </c>
      <c r="O29">
        <f t="shared" ref="O29" ca="1" si="8">+C$11+C$12*$F29</f>
        <v>-0.29608318931072986</v>
      </c>
      <c r="Q29" s="2">
        <f t="shared" ref="Q29" si="9">+C29-15018.5</f>
        <v>44168.9156</v>
      </c>
    </row>
    <row r="30" spans="1:17" x14ac:dyDescent="0.2">
      <c r="B30" s="5"/>
      <c r="C30" s="15"/>
      <c r="D30" s="15"/>
      <c r="Q30" s="2"/>
    </row>
    <row r="31" spans="1:17" x14ac:dyDescent="0.2">
      <c r="B31" s="5"/>
      <c r="C31" s="15"/>
      <c r="D31" s="15"/>
      <c r="Q31" s="2"/>
    </row>
    <row r="32" spans="1:17" x14ac:dyDescent="0.2">
      <c r="B32" s="5"/>
      <c r="C32" s="15"/>
      <c r="D32" s="15"/>
      <c r="Q32" s="2"/>
    </row>
    <row r="33" spans="2:4" x14ac:dyDescent="0.2">
      <c r="B33" s="5"/>
      <c r="C33" s="15"/>
      <c r="D33" s="15"/>
    </row>
    <row r="34" spans="2:4" x14ac:dyDescent="0.2">
      <c r="B34" s="5"/>
      <c r="C34" s="15"/>
      <c r="D34" s="15"/>
    </row>
    <row r="35" spans="2:4" x14ac:dyDescent="0.2">
      <c r="B35" s="5"/>
      <c r="C35" s="15"/>
      <c r="D35" s="15"/>
    </row>
    <row r="36" spans="2:4" x14ac:dyDescent="0.2">
      <c r="B36" s="5"/>
      <c r="D36" s="5"/>
    </row>
    <row r="37" spans="2:4" x14ac:dyDescent="0.2">
      <c r="B37" s="5"/>
      <c r="D37" s="5"/>
    </row>
    <row r="38" spans="2:4" x14ac:dyDescent="0.2">
      <c r="B38" s="5"/>
      <c r="D38" s="5"/>
    </row>
    <row r="39" spans="2:4" x14ac:dyDescent="0.2">
      <c r="D39" s="5"/>
    </row>
    <row r="40" spans="2:4" x14ac:dyDescent="0.2">
      <c r="D40" s="5"/>
    </row>
    <row r="41" spans="2:4" x14ac:dyDescent="0.2">
      <c r="D41" s="5"/>
    </row>
    <row r="42" spans="2:4" x14ac:dyDescent="0.2">
      <c r="D42" s="5"/>
    </row>
    <row r="43" spans="2:4" x14ac:dyDescent="0.2">
      <c r="D43" s="5"/>
    </row>
    <row r="44" spans="2:4" x14ac:dyDescent="0.2">
      <c r="D44" s="5"/>
    </row>
    <row r="45" spans="2:4" x14ac:dyDescent="0.2">
      <c r="D45" s="5"/>
    </row>
    <row r="46" spans="2:4" x14ac:dyDescent="0.2">
      <c r="D46" s="5"/>
    </row>
    <row r="47" spans="2:4" x14ac:dyDescent="0.2">
      <c r="D47" s="5"/>
    </row>
    <row r="48" spans="2:4" x14ac:dyDescent="0.2">
      <c r="D48" s="5"/>
    </row>
    <row r="49" spans="4:4" x14ac:dyDescent="0.2">
      <c r="D49" s="5"/>
    </row>
    <row r="50" spans="4:4" x14ac:dyDescent="0.2">
      <c r="D50" s="5"/>
    </row>
    <row r="51" spans="4:4" x14ac:dyDescent="0.2">
      <c r="D51" s="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8"/>
  <sheetViews>
    <sheetView workbookViewId="0">
      <selection activeCell="A15" sqref="A15:D15"/>
    </sheetView>
  </sheetViews>
  <sheetFormatPr defaultRowHeight="12.75" x14ac:dyDescent="0.2"/>
  <cols>
    <col min="1" max="1" width="19.7109375" style="15" customWidth="1"/>
    <col min="2" max="2" width="4.42578125" style="18" customWidth="1"/>
    <col min="3" max="3" width="12.7109375" style="15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5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37" t="s">
        <v>39</v>
      </c>
      <c r="I1" s="38" t="s">
        <v>40</v>
      </c>
      <c r="J1" s="39" t="s">
        <v>41</v>
      </c>
    </row>
    <row r="2" spans="1:16" x14ac:dyDescent="0.2">
      <c r="I2" s="40" t="s">
        <v>42</v>
      </c>
      <c r="J2" s="41" t="s">
        <v>43</v>
      </c>
    </row>
    <row r="3" spans="1:16" x14ac:dyDescent="0.2">
      <c r="A3" s="42" t="s">
        <v>44</v>
      </c>
      <c r="I3" s="40" t="s">
        <v>45</v>
      </c>
      <c r="J3" s="41" t="s">
        <v>46</v>
      </c>
    </row>
    <row r="4" spans="1:16" x14ac:dyDescent="0.2">
      <c r="I4" s="40" t="s">
        <v>47</v>
      </c>
      <c r="J4" s="41" t="s">
        <v>46</v>
      </c>
    </row>
    <row r="5" spans="1:16" ht="13.5" thickBot="1" x14ac:dyDescent="0.25">
      <c r="I5" s="43" t="s">
        <v>48</v>
      </c>
      <c r="J5" s="44" t="s">
        <v>49</v>
      </c>
    </row>
    <row r="10" spans="1:16" ht="13.5" thickBot="1" x14ac:dyDescent="0.25"/>
    <row r="11" spans="1:16" ht="12.75" customHeight="1" thickBot="1" x14ac:dyDescent="0.25">
      <c r="A11" s="15" t="str">
        <f>P11</f>
        <v>IBVS 5690 </v>
      </c>
      <c r="B11" s="5" t="str">
        <f>IF(H11=INT(H11),"I","II")</f>
        <v>II</v>
      </c>
      <c r="C11" s="15">
        <f>1*G11</f>
        <v>53342.903899999998</v>
      </c>
      <c r="D11" s="18" t="str">
        <f>VLOOKUP(F11,I$1:J$5,2,FALSE)</f>
        <v>vis</v>
      </c>
      <c r="E11" s="45">
        <f>VLOOKUP(C11,Active!C$21:E$973,3,FALSE)</f>
        <v>29156.322013564139</v>
      </c>
      <c r="F11" s="5" t="s">
        <v>48</v>
      </c>
      <c r="G11" s="18" t="str">
        <f>MID(I11,3,LEN(I11)-3)</f>
        <v>53342.9039</v>
      </c>
      <c r="H11" s="15">
        <f>1*K11</f>
        <v>29156.5</v>
      </c>
      <c r="I11" s="46" t="s">
        <v>50</v>
      </c>
      <c r="J11" s="47" t="s">
        <v>51</v>
      </c>
      <c r="K11" s="46">
        <v>29156.5</v>
      </c>
      <c r="L11" s="46" t="s">
        <v>52</v>
      </c>
      <c r="M11" s="47" t="s">
        <v>53</v>
      </c>
      <c r="N11" s="47" t="s">
        <v>54</v>
      </c>
      <c r="O11" s="48" t="s">
        <v>55</v>
      </c>
      <c r="P11" s="49" t="s">
        <v>56</v>
      </c>
    </row>
    <row r="12" spans="1:16" ht="12.75" customHeight="1" thickBot="1" x14ac:dyDescent="0.25">
      <c r="A12" s="15" t="str">
        <f>P12</f>
        <v>IBVS 5690 </v>
      </c>
      <c r="B12" s="5" t="str">
        <f>IF(H12=INT(H12),"I","II")</f>
        <v>II</v>
      </c>
      <c r="C12" s="15">
        <f>1*G12</f>
        <v>53383.942300000002</v>
      </c>
      <c r="D12" s="18" t="str">
        <f>VLOOKUP(F12,I$1:J$5,2,FALSE)</f>
        <v>vis</v>
      </c>
      <c r="E12" s="45">
        <f>VLOOKUP(C12,Active!C$21:E$973,3,FALSE)</f>
        <v>29223.307625133653</v>
      </c>
      <c r="F12" s="5" t="s">
        <v>48</v>
      </c>
      <c r="G12" s="18" t="str">
        <f>MID(I12,3,LEN(I12)-3)</f>
        <v>53383.9423</v>
      </c>
      <c r="H12" s="15">
        <f>1*K12</f>
        <v>29223.5</v>
      </c>
      <c r="I12" s="46" t="s">
        <v>57</v>
      </c>
      <c r="J12" s="47" t="s">
        <v>58</v>
      </c>
      <c r="K12" s="46">
        <v>29223.5</v>
      </c>
      <c r="L12" s="46" t="s">
        <v>59</v>
      </c>
      <c r="M12" s="47" t="s">
        <v>53</v>
      </c>
      <c r="N12" s="47" t="s">
        <v>54</v>
      </c>
      <c r="O12" s="48" t="s">
        <v>55</v>
      </c>
      <c r="P12" s="49" t="s">
        <v>56</v>
      </c>
    </row>
    <row r="13" spans="1:16" ht="12.75" customHeight="1" thickBot="1" x14ac:dyDescent="0.25">
      <c r="A13" s="15" t="str">
        <f>P13</f>
        <v>BAVM 186 </v>
      </c>
      <c r="B13" s="5" t="str">
        <f>IF(H13=INT(H13),"I","II")</f>
        <v>I</v>
      </c>
      <c r="C13" s="15">
        <f>1*G13</f>
        <v>54115.271699999998</v>
      </c>
      <c r="D13" s="18" t="str">
        <f>VLOOKUP(F13,I$1:J$5,2,FALSE)</f>
        <v>vis</v>
      </c>
      <c r="E13" s="45">
        <f>VLOOKUP(C13,Active!C$21:E$973,3,FALSE)</f>
        <v>30417.032212782284</v>
      </c>
      <c r="F13" s="5" t="s">
        <v>48</v>
      </c>
      <c r="G13" s="18" t="str">
        <f>MID(I13,3,LEN(I13)-3)</f>
        <v>54115.2717</v>
      </c>
      <c r="H13" s="15">
        <f>1*K13</f>
        <v>30417</v>
      </c>
      <c r="I13" s="46" t="s">
        <v>60</v>
      </c>
      <c r="J13" s="47" t="s">
        <v>61</v>
      </c>
      <c r="K13" s="46">
        <v>30417</v>
      </c>
      <c r="L13" s="46" t="s">
        <v>62</v>
      </c>
      <c r="M13" s="47" t="s">
        <v>53</v>
      </c>
      <c r="N13" s="47" t="s">
        <v>63</v>
      </c>
      <c r="O13" s="48" t="s">
        <v>64</v>
      </c>
      <c r="P13" s="49" t="s">
        <v>65</v>
      </c>
    </row>
    <row r="14" spans="1:16" ht="12.75" customHeight="1" thickBot="1" x14ac:dyDescent="0.25">
      <c r="A14" s="15" t="str">
        <f>P14</f>
        <v>BAVM 201 </v>
      </c>
      <c r="B14" s="5" t="str">
        <f>IF(H14=INT(H14),"I","II")</f>
        <v>I</v>
      </c>
      <c r="C14" s="15">
        <f>1*G14</f>
        <v>54532.388899999998</v>
      </c>
      <c r="D14" s="18" t="str">
        <f>VLOOKUP(F14,I$1:J$5,2,FALSE)</f>
        <v>vis</v>
      </c>
      <c r="E14" s="45">
        <f>VLOOKUP(C14,Active!C$21:E$973,3,FALSE)</f>
        <v>31097.878706265459</v>
      </c>
      <c r="F14" s="5" t="s">
        <v>48</v>
      </c>
      <c r="G14" s="18" t="str">
        <f>MID(I14,3,LEN(I14)-3)</f>
        <v>54532.3889</v>
      </c>
      <c r="H14" s="15">
        <f>1*K14</f>
        <v>31098</v>
      </c>
      <c r="I14" s="46" t="s">
        <v>72</v>
      </c>
      <c r="J14" s="47" t="s">
        <v>73</v>
      </c>
      <c r="K14" s="46" t="s">
        <v>74</v>
      </c>
      <c r="L14" s="46" t="s">
        <v>69</v>
      </c>
      <c r="M14" s="47" t="s">
        <v>53</v>
      </c>
      <c r="N14" s="47" t="s">
        <v>48</v>
      </c>
      <c r="O14" s="48" t="s">
        <v>64</v>
      </c>
      <c r="P14" s="49" t="s">
        <v>75</v>
      </c>
    </row>
    <row r="15" spans="1:16" ht="12.75" customHeight="1" thickBot="1" x14ac:dyDescent="0.25">
      <c r="A15" s="15" t="str">
        <f>P15</f>
        <v>BAVM 225 </v>
      </c>
      <c r="B15" s="5" t="str">
        <f>IF(H15=INT(H15),"I","II")</f>
        <v>II</v>
      </c>
      <c r="C15" s="15">
        <f>1*G15</f>
        <v>54506.351499999997</v>
      </c>
      <c r="D15" s="18" t="str">
        <f>VLOOKUP(F15,I$1:J$5,2,FALSE)</f>
        <v>vis</v>
      </c>
      <c r="E15" s="45">
        <f>VLOOKUP(C15,Active!C$21:E$973,3,FALSE)</f>
        <v>31055.37872666879</v>
      </c>
      <c r="F15" s="5" t="s">
        <v>48</v>
      </c>
      <c r="G15" s="18" t="str">
        <f>MID(I15,3,LEN(I15)-3)</f>
        <v>54506.3515</v>
      </c>
      <c r="H15" s="15">
        <f>1*K15</f>
        <v>31055.5</v>
      </c>
      <c r="I15" s="46" t="s">
        <v>66</v>
      </c>
      <c r="J15" s="47" t="s">
        <v>67</v>
      </c>
      <c r="K15" s="46" t="s">
        <v>68</v>
      </c>
      <c r="L15" s="46" t="s">
        <v>69</v>
      </c>
      <c r="M15" s="47" t="s">
        <v>53</v>
      </c>
      <c r="N15" s="47" t="s">
        <v>48</v>
      </c>
      <c r="O15" s="48" t="s">
        <v>70</v>
      </c>
      <c r="P15" s="49" t="s">
        <v>71</v>
      </c>
    </row>
    <row r="16" spans="1:16" x14ac:dyDescent="0.2">
      <c r="B16" s="5"/>
      <c r="E16" s="45"/>
      <c r="F16" s="5"/>
    </row>
    <row r="17" spans="2:6" x14ac:dyDescent="0.2">
      <c r="B17" s="5"/>
      <c r="E17" s="45"/>
      <c r="F17" s="5"/>
    </row>
    <row r="18" spans="2:6" x14ac:dyDescent="0.2">
      <c r="B18" s="5"/>
      <c r="E18" s="45"/>
      <c r="F18" s="5"/>
    </row>
    <row r="19" spans="2:6" x14ac:dyDescent="0.2">
      <c r="B19" s="5"/>
      <c r="E19" s="45"/>
      <c r="F19" s="5"/>
    </row>
    <row r="20" spans="2:6" x14ac:dyDescent="0.2">
      <c r="B20" s="5"/>
      <c r="E20" s="45"/>
      <c r="F20" s="5"/>
    </row>
    <row r="21" spans="2:6" x14ac:dyDescent="0.2">
      <c r="B21" s="5"/>
      <c r="E21" s="45"/>
      <c r="F21" s="5"/>
    </row>
    <row r="22" spans="2:6" x14ac:dyDescent="0.2">
      <c r="B22" s="5"/>
      <c r="E22" s="45"/>
      <c r="F22" s="5"/>
    </row>
    <row r="23" spans="2:6" x14ac:dyDescent="0.2">
      <c r="B23" s="5"/>
      <c r="E23" s="45"/>
      <c r="F23" s="5"/>
    </row>
    <row r="24" spans="2:6" x14ac:dyDescent="0.2">
      <c r="B24" s="5"/>
      <c r="E24" s="45"/>
      <c r="F24" s="5"/>
    </row>
    <row r="25" spans="2:6" x14ac:dyDescent="0.2">
      <c r="B25" s="5"/>
      <c r="E25" s="45"/>
      <c r="F25" s="5"/>
    </row>
    <row r="26" spans="2:6" x14ac:dyDescent="0.2">
      <c r="B26" s="5"/>
      <c r="E26" s="45"/>
      <c r="F26" s="5"/>
    </row>
    <row r="27" spans="2:6" x14ac:dyDescent="0.2">
      <c r="B27" s="5"/>
      <c r="E27" s="45"/>
      <c r="F27" s="5"/>
    </row>
    <row r="28" spans="2:6" x14ac:dyDescent="0.2">
      <c r="B28" s="5"/>
      <c r="E28" s="45"/>
      <c r="F28" s="5"/>
    </row>
    <row r="29" spans="2:6" x14ac:dyDescent="0.2">
      <c r="B29" s="5"/>
      <c r="E29" s="45"/>
      <c r="F29" s="5"/>
    </row>
    <row r="30" spans="2:6" x14ac:dyDescent="0.2">
      <c r="B30" s="5"/>
      <c r="E30" s="45"/>
      <c r="F30" s="5"/>
    </row>
    <row r="31" spans="2:6" x14ac:dyDescent="0.2">
      <c r="B31" s="5"/>
      <c r="F31" s="5"/>
    </row>
    <row r="32" spans="2:6" x14ac:dyDescent="0.2">
      <c r="B32" s="5"/>
      <c r="F32" s="5"/>
    </row>
    <row r="33" spans="2:6" x14ac:dyDescent="0.2">
      <c r="B33" s="5"/>
      <c r="F33" s="5"/>
    </row>
    <row r="34" spans="2:6" x14ac:dyDescent="0.2">
      <c r="B34" s="5"/>
      <c r="F34" s="5"/>
    </row>
    <row r="35" spans="2:6" x14ac:dyDescent="0.2">
      <c r="B35" s="5"/>
      <c r="F35" s="5"/>
    </row>
    <row r="36" spans="2:6" x14ac:dyDescent="0.2">
      <c r="B36" s="5"/>
      <c r="F36" s="5"/>
    </row>
    <row r="37" spans="2:6" x14ac:dyDescent="0.2">
      <c r="B37" s="5"/>
      <c r="F37" s="5"/>
    </row>
    <row r="38" spans="2:6" x14ac:dyDescent="0.2">
      <c r="B38" s="5"/>
      <c r="F38" s="5"/>
    </row>
    <row r="39" spans="2:6" x14ac:dyDescent="0.2">
      <c r="B39" s="5"/>
      <c r="F39" s="5"/>
    </row>
    <row r="40" spans="2:6" x14ac:dyDescent="0.2">
      <c r="B40" s="5"/>
      <c r="F40" s="5"/>
    </row>
    <row r="41" spans="2:6" x14ac:dyDescent="0.2">
      <c r="B41" s="5"/>
      <c r="F41" s="5"/>
    </row>
    <row r="42" spans="2:6" x14ac:dyDescent="0.2">
      <c r="B42" s="5"/>
      <c r="F42" s="5"/>
    </row>
    <row r="43" spans="2:6" x14ac:dyDescent="0.2">
      <c r="B43" s="5"/>
      <c r="F43" s="5"/>
    </row>
    <row r="44" spans="2:6" x14ac:dyDescent="0.2">
      <c r="B44" s="5"/>
      <c r="F44" s="5"/>
    </row>
    <row r="45" spans="2:6" x14ac:dyDescent="0.2">
      <c r="B45" s="5"/>
      <c r="F45" s="5"/>
    </row>
    <row r="46" spans="2:6" x14ac:dyDescent="0.2">
      <c r="B46" s="5"/>
      <c r="F46" s="5"/>
    </row>
    <row r="47" spans="2:6" x14ac:dyDescent="0.2">
      <c r="B47" s="5"/>
      <c r="F47" s="5"/>
    </row>
    <row r="48" spans="2: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</sheetData>
  <phoneticPr fontId="7" type="noConversion"/>
  <hyperlinks>
    <hyperlink ref="P11" r:id="rId1" display="http://www.konkoly.hu/cgi-bin/IBVS?5690"/>
    <hyperlink ref="P12" r:id="rId2" display="http://www.konkoly.hu/cgi-bin/IBVS?5690"/>
    <hyperlink ref="P13" r:id="rId3" display="http://www.bav-astro.de/sfs/BAVM_link.php?BAVMnr=186"/>
    <hyperlink ref="P15" r:id="rId4" display="http://www.bav-astro.de/sfs/BAVM_link.php?BAVMnr=225"/>
    <hyperlink ref="P14" r:id="rId5" display="http://www.bav-astro.de/sfs/BAVM_link.php?BAVMnr=20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2023-01-14T04:53:08Z</dcterms:modified>
</cp:coreProperties>
</file>