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B2E4D1B4-2D3D-406D-BD18-10D706EFC33E}" xr6:coauthVersionLast="47" xr6:coauthVersionMax="47" xr10:uidLastSave="{00000000-0000-0000-0000-000000000000}"/>
  <bookViews>
    <workbookView xWindow="13965" yWindow="93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6" i="1" l="1"/>
  <c r="F56" i="1"/>
  <c r="G56" i="1"/>
  <c r="K56" i="1"/>
  <c r="Q56" i="1"/>
  <c r="E55" i="1"/>
  <c r="F55" i="1"/>
  <c r="G55" i="1"/>
  <c r="K55" i="1"/>
  <c r="Q55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D9" i="1"/>
  <c r="C9" i="1"/>
  <c r="Q54" i="1"/>
  <c r="C21" i="1"/>
  <c r="E21" i="1"/>
  <c r="F21" i="1"/>
  <c r="G21" i="1"/>
  <c r="K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U25" i="1"/>
  <c r="E26" i="1"/>
  <c r="F26" i="1"/>
  <c r="G26" i="1"/>
  <c r="K26" i="1"/>
  <c r="E27" i="1"/>
  <c r="F27" i="1"/>
  <c r="U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49" i="1"/>
  <c r="F49" i="1"/>
  <c r="G49" i="1"/>
  <c r="K49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Q49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G14" i="2"/>
  <c r="C14" i="2"/>
  <c r="E14" i="2"/>
  <c r="G13" i="2"/>
  <c r="C13" i="2"/>
  <c r="E13" i="2"/>
  <c r="G12" i="2"/>
  <c r="C12" i="2"/>
  <c r="E12" i="2"/>
  <c r="G11" i="2"/>
  <c r="C11" i="2"/>
  <c r="E11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3" i="1"/>
  <c r="Q28" i="1"/>
  <c r="Q29" i="1"/>
  <c r="Q30" i="1"/>
  <c r="Q31" i="1"/>
  <c r="Q27" i="1"/>
  <c r="Q32" i="1"/>
  <c r="Q33" i="1"/>
  <c r="Q34" i="1"/>
  <c r="Q26" i="1"/>
  <c r="Q22" i="1"/>
  <c r="Q24" i="1"/>
  <c r="Q25" i="1"/>
  <c r="A21" i="1"/>
  <c r="F16" i="1"/>
  <c r="F17" i="1" s="1"/>
  <c r="C17" i="1"/>
  <c r="Q21" i="1"/>
  <c r="C12" i="1"/>
  <c r="C11" i="1"/>
  <c r="O36" i="1" l="1"/>
  <c r="O26" i="1"/>
  <c r="O46" i="1"/>
  <c r="O25" i="1"/>
  <c r="O27" i="1"/>
  <c r="O44" i="1"/>
  <c r="O21" i="1"/>
  <c r="O32" i="1"/>
  <c r="O40" i="1"/>
  <c r="O43" i="1"/>
  <c r="O23" i="1"/>
  <c r="O31" i="1"/>
  <c r="O28" i="1"/>
  <c r="O53" i="1"/>
  <c r="O38" i="1"/>
  <c r="O49" i="1"/>
  <c r="O42" i="1"/>
  <c r="O29" i="1"/>
  <c r="O54" i="1"/>
  <c r="O34" i="1"/>
  <c r="O51" i="1"/>
  <c r="O56" i="1"/>
  <c r="O55" i="1"/>
  <c r="O48" i="1"/>
  <c r="O35" i="1"/>
  <c r="O30" i="1"/>
  <c r="O37" i="1"/>
  <c r="O47" i="1"/>
  <c r="C15" i="1"/>
  <c r="F18" i="1" s="1"/>
  <c r="O52" i="1"/>
  <c r="O22" i="1"/>
  <c r="O33" i="1"/>
  <c r="O24" i="1"/>
  <c r="O45" i="1"/>
  <c r="O41" i="1"/>
  <c r="O39" i="1"/>
  <c r="O50" i="1"/>
  <c r="C16" i="1"/>
  <c r="D18" i="1" s="1"/>
  <c r="F19" i="1" l="1"/>
  <c r="C18" i="1"/>
</calcChain>
</file>

<file path=xl/sharedStrings.xml><?xml version="1.0" encoding="utf-8"?>
<sst xmlns="http://schemas.openxmlformats.org/spreadsheetml/2006/main" count="160" uniqueCount="88">
  <si>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</si>
  <si>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</si>
  <si>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</si>
  <si>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</si>
  <si>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</si>
  <si>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</si>
  <si>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</si>
  <si>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</si>
  <si>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</si>
  <si>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</si>
  <si>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</si>
  <si>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</si>
  <si>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</si>
  <si>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</si>
  <si>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</si>
  <si>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</si>
  <si>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</si>
  <si>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</si>
  <si>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</si>
  <si>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</si>
  <si>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</si>
  <si>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</si>
  <si>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</si>
  <si>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</si>
  <si>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</si>
  <si>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</si>
  <si>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</si>
  <si>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</si>
  <si>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</si>
  <si>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</si>
  <si>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</si>
  <si>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</si>
  <si>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</si>
  <si>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</si>
  <si>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</si>
  <si>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</si>
  <si>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</si>
  <si>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</si>
  <si>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</si>
  <si>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V0405 Gem</t>
  </si>
  <si>
    <t>V0405 Gem / GSC 1330-0293</t>
  </si>
  <si>
    <t>EW</t>
  </si>
  <si>
    <t>BRNO</t>
  </si>
  <si>
    <t>IBVS 6048</t>
  </si>
  <si>
    <t>I</t>
  </si>
  <si>
    <t>IBVS 6070</t>
  </si>
  <si>
    <t>IBVS 6131</t>
  </si>
  <si>
    <t>OEJV 0168</t>
  </si>
  <si>
    <t>II</t>
  </si>
  <si>
    <t>G1330-0293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</si>
  <si>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</si>
  <si>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</si>
  <si>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</si>
  <si>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</si>
  <si>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</si>
  <si>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</si>
  <si>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</si>
  <si>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</si>
  <si>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</si>
  <si>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</si>
  <si>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</si>
  <si>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</si>
  <si>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2454910.3597 </t>
  </si>
  <si>
    <t> 19.03.2009 20:37 </t>
  </si>
  <si>
    <t> -0.0021 </t>
  </si>
  <si>
    <t>C </t>
  </si>
  <si>
    <t>o</t>
  </si>
  <si>
    <t> H.Achterberg </t>
  </si>
  <si>
    <t>BAVM 228 </t>
  </si>
  <si>
    <t>2456001.3938 </t>
  </si>
  <si>
    <t> 14.03.2012 21:27 </t>
  </si>
  <si>
    <t> -0.0131 </t>
  </si>
  <si>
    <t>Ic</t>
  </si>
  <si>
    <t> W.Quester </t>
  </si>
  <si>
    <t>BAVM 231 </t>
  </si>
  <si>
    <t>2456002.3288 </t>
  </si>
  <si>
    <t> 15.03.2012 19:53 </t>
  </si>
  <si>
    <t> -0.0023 </t>
  </si>
  <si>
    <t>2456693.6365 </t>
  </si>
  <si>
    <t> 05.02.2014 03:16 </t>
  </si>
  <si>
    <t> -0.0132 </t>
  </si>
  <si>
    <t> R.Nelson </t>
  </si>
  <si>
    <t>IBVS 6131 </t>
  </si>
  <si>
    <t>OEJV 0179</t>
  </si>
  <si>
    <t>RHN 2020</t>
  </si>
  <si>
    <t>OEJV 0211</t>
  </si>
  <si>
    <t>RHN 2022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</si>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</sst>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17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16" fillId="0" borderId="0" xfId="43" applyFont="1"/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Gem - O-C Diagr.</a:t>
            </a:r>
          </a:p>
        </c:rich>
      </c:tx>
      <c:layout>
        <c:manualLayout>
          <c:xMode val="edge"/>
          <c:yMode val="edge"/>
          <c:x val="0.36827991237937363"/>
          <c:y val="4.14213135638746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7593984962405"/>
          <c:y val="0.16081917266074064"/>
          <c:w val="0.80451127819548873"/>
          <c:h val="0.500001427727030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DA-4EB0-8DFF-7D6E90110E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DA-4EB0-8DFF-7D6E90110E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-2.1582400004263036E-3</c:v>
                </c:pt>
                <c:pt idx="2">
                  <c:v>-8.7715599947841838E-3</c:v>
                </c:pt>
                <c:pt idx="3">
                  <c:v>-1.3120859999617096E-2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DA-4EB0-8DFF-7D6E90110E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5">
                  <c:v>-1.3328019995242357E-2</c:v>
                </c:pt>
                <c:pt idx="7">
                  <c:v>-1.6757839999627322E-2</c:v>
                </c:pt>
                <c:pt idx="8">
                  <c:v>-1.3557840000430588E-2</c:v>
                </c:pt>
                <c:pt idx="9">
                  <c:v>-1.9256299994594883E-2</c:v>
                </c:pt>
                <c:pt idx="10">
                  <c:v>-1.8116299994289875E-2</c:v>
                </c:pt>
                <c:pt idx="11">
                  <c:v>-2.0108599994273391E-2</c:v>
                </c:pt>
                <c:pt idx="12">
                  <c:v>-1.5128599996387493E-2</c:v>
                </c:pt>
                <c:pt idx="13">
                  <c:v>-1.468860000022687E-2</c:v>
                </c:pt>
                <c:pt idx="14">
                  <c:v>-2.1669249996193685E-2</c:v>
                </c:pt>
                <c:pt idx="15">
                  <c:v>-1.4589250000426546E-2</c:v>
                </c:pt>
                <c:pt idx="16">
                  <c:v>-2.3442089994205162E-2</c:v>
                </c:pt>
                <c:pt idx="17">
                  <c:v>-1.9572089993744157E-2</c:v>
                </c:pt>
                <c:pt idx="18">
                  <c:v>-1.7614780001167674E-2</c:v>
                </c:pt>
                <c:pt idx="19">
                  <c:v>-1.5814780002983753E-2</c:v>
                </c:pt>
                <c:pt idx="20">
                  <c:v>-2.1787619996757712E-2</c:v>
                </c:pt>
                <c:pt idx="21">
                  <c:v>-1.7707619997963775E-2</c:v>
                </c:pt>
                <c:pt idx="22">
                  <c:v>-1.8109009994077496E-2</c:v>
                </c:pt>
                <c:pt idx="23">
                  <c:v>-1.3179009998566471E-2</c:v>
                </c:pt>
                <c:pt idx="24">
                  <c:v>-2.0483239997702185E-2</c:v>
                </c:pt>
                <c:pt idx="25">
                  <c:v>-1.7033240001183003E-2</c:v>
                </c:pt>
                <c:pt idx="26">
                  <c:v>-2.0626079996873159E-2</c:v>
                </c:pt>
                <c:pt idx="27">
                  <c:v>-2.0196079996821936E-2</c:v>
                </c:pt>
                <c:pt idx="28">
                  <c:v>-2.4800920000416227E-2</c:v>
                </c:pt>
                <c:pt idx="29">
                  <c:v>-3.0937920084397774E-2</c:v>
                </c:pt>
                <c:pt idx="30">
                  <c:v>-2.5442150188609958E-2</c:v>
                </c:pt>
                <c:pt idx="31">
                  <c:v>-3.1627860153093934E-2</c:v>
                </c:pt>
                <c:pt idx="32">
                  <c:v>-4.0290700046170969E-2</c:v>
                </c:pt>
                <c:pt idx="33">
                  <c:v>-6.2893239999539219E-2</c:v>
                </c:pt>
                <c:pt idx="34">
                  <c:v>-7.3704410002392251E-2</c:v>
                </c:pt>
                <c:pt idx="35">
                  <c:v>-6.0610410000663251E-2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DA-4EB0-8DFF-7D6E90110E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DA-4EB0-8DFF-7D6E90110E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DA-4EB0-8DFF-7D6E90110E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DA-4EB0-8DFF-7D6E90110E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3.6863926725613436E-2</c:v>
                </c:pt>
                <c:pt idx="1">
                  <c:v>2.8316560676316611E-2</c:v>
                </c:pt>
                <c:pt idx="2">
                  <c:v>1.4142832112918436E-2</c:v>
                </c:pt>
                <c:pt idx="3">
                  <c:v>5.1739789763283056E-3</c:v>
                </c:pt>
                <c:pt idx="4">
                  <c:v>5.1543749257565233E-3</c:v>
                </c:pt>
                <c:pt idx="5">
                  <c:v>-9.5094549019361929E-3</c:v>
                </c:pt>
                <c:pt idx="6">
                  <c:v>-9.5241579398650314E-3</c:v>
                </c:pt>
                <c:pt idx="7">
                  <c:v>-9.7152974329399039E-3</c:v>
                </c:pt>
                <c:pt idx="8">
                  <c:v>-9.7152974329399039E-3</c:v>
                </c:pt>
                <c:pt idx="9">
                  <c:v>-9.8427237616564855E-3</c:v>
                </c:pt>
                <c:pt idx="10">
                  <c:v>-9.8427237616564855E-3</c:v>
                </c:pt>
                <c:pt idx="11">
                  <c:v>-1.0479855405239387E-2</c:v>
                </c:pt>
                <c:pt idx="12">
                  <c:v>-1.0479855405239387E-2</c:v>
                </c:pt>
                <c:pt idx="13">
                  <c:v>-1.0479855405239387E-2</c:v>
                </c:pt>
                <c:pt idx="14">
                  <c:v>-1.7904889559301709E-2</c:v>
                </c:pt>
                <c:pt idx="15">
                  <c:v>-1.7904889559301709E-2</c:v>
                </c:pt>
                <c:pt idx="16">
                  <c:v>-1.7924493609873492E-2</c:v>
                </c:pt>
                <c:pt idx="17">
                  <c:v>-1.7924493609873492E-2</c:v>
                </c:pt>
                <c:pt idx="18">
                  <c:v>-1.8115633102948364E-2</c:v>
                </c:pt>
                <c:pt idx="19">
                  <c:v>-1.8115633102948364E-2</c:v>
                </c:pt>
                <c:pt idx="20">
                  <c:v>-1.8135237153520146E-2</c:v>
                </c:pt>
                <c:pt idx="21">
                  <c:v>-1.8135237153520146E-2</c:v>
                </c:pt>
                <c:pt idx="22">
                  <c:v>-1.8179346267306655E-2</c:v>
                </c:pt>
                <c:pt idx="23">
                  <c:v>-1.8179346267306655E-2</c:v>
                </c:pt>
                <c:pt idx="24">
                  <c:v>-1.8243059431664946E-2</c:v>
                </c:pt>
                <c:pt idx="25">
                  <c:v>-1.8243059431664946E-2</c:v>
                </c:pt>
                <c:pt idx="26">
                  <c:v>-1.8262663482236728E-2</c:v>
                </c:pt>
                <c:pt idx="27">
                  <c:v>-1.8262663482236728E-2</c:v>
                </c:pt>
                <c:pt idx="28">
                  <c:v>-2.4163482704343021E-2</c:v>
                </c:pt>
                <c:pt idx="29">
                  <c:v>-3.2495204197350247E-2</c:v>
                </c:pt>
                <c:pt idx="30">
                  <c:v>-3.2558917361708531E-2</c:v>
                </c:pt>
                <c:pt idx="31">
                  <c:v>-3.2563818374351489E-2</c:v>
                </c:pt>
                <c:pt idx="32">
                  <c:v>-3.2583422424923264E-2</c:v>
                </c:pt>
                <c:pt idx="33">
                  <c:v>-6.2352173218173781E-2</c:v>
                </c:pt>
                <c:pt idx="34">
                  <c:v>-7.0816222052540539E-2</c:v>
                </c:pt>
                <c:pt idx="35">
                  <c:v>-6.3954804352416947E-2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DA-4EB0-8DFF-7D6E90110E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-2.3436999981640838E-3</c:v>
                </c:pt>
                <c:pt idx="6">
                  <c:v>-4.045150002639275E-3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DA-4EB0-8DFF-7D6E90110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5344"/>
        <c:axId val="1"/>
      </c:scatterChart>
      <c:valAx>
        <c:axId val="671955344"/>
        <c:scaling>
          <c:orientation val="minMax"/>
          <c:max val="5700"/>
          <c:min val="5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95802498371915"/>
              <c:y val="0.70712345167380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9871371341740179E-2"/>
              <c:y val="0.31657841015487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56390977443608"/>
          <c:y val="0.81286795290939506"/>
          <c:w val="0.95488721804511278"/>
          <c:h val="0.964915043514297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Gem - O-C Diagr.</a:t>
            </a:r>
          </a:p>
        </c:rich>
      </c:tx>
      <c:layout>
        <c:manualLayout>
          <c:xMode val="edge"/>
          <c:yMode val="edge"/>
          <c:x val="0.3669172932330827"/>
          <c:y val="1.4577259475218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5338345864662"/>
          <c:y val="0.11661824181487139"/>
          <c:w val="0.82706766917293228"/>
          <c:h val="0.702624906934600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66-4F58-ABE4-DC76291FDE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66-4F58-ABE4-DC76291FDE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-2.1582400004263036E-3</c:v>
                </c:pt>
                <c:pt idx="2">
                  <c:v>-8.7715599947841838E-3</c:v>
                </c:pt>
                <c:pt idx="3">
                  <c:v>-1.3120859999617096E-2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66-4F58-ABE4-DC76291FDE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5">
                  <c:v>-1.3328019995242357E-2</c:v>
                </c:pt>
                <c:pt idx="7">
                  <c:v>-1.6757839999627322E-2</c:v>
                </c:pt>
                <c:pt idx="8">
                  <c:v>-1.3557840000430588E-2</c:v>
                </c:pt>
                <c:pt idx="9">
                  <c:v>-1.9256299994594883E-2</c:v>
                </c:pt>
                <c:pt idx="10">
                  <c:v>-1.8116299994289875E-2</c:v>
                </c:pt>
                <c:pt idx="11">
                  <c:v>-2.0108599994273391E-2</c:v>
                </c:pt>
                <c:pt idx="12">
                  <c:v>-1.5128599996387493E-2</c:v>
                </c:pt>
                <c:pt idx="13">
                  <c:v>-1.468860000022687E-2</c:v>
                </c:pt>
                <c:pt idx="14">
                  <c:v>-2.1669249996193685E-2</c:v>
                </c:pt>
                <c:pt idx="15">
                  <c:v>-1.4589250000426546E-2</c:v>
                </c:pt>
                <c:pt idx="16">
                  <c:v>-2.3442089994205162E-2</c:v>
                </c:pt>
                <c:pt idx="17">
                  <c:v>-1.9572089993744157E-2</c:v>
                </c:pt>
                <c:pt idx="18">
                  <c:v>-1.7614780001167674E-2</c:v>
                </c:pt>
                <c:pt idx="19">
                  <c:v>-1.5814780002983753E-2</c:v>
                </c:pt>
                <c:pt idx="20">
                  <c:v>-2.1787619996757712E-2</c:v>
                </c:pt>
                <c:pt idx="21">
                  <c:v>-1.7707619997963775E-2</c:v>
                </c:pt>
                <c:pt idx="22">
                  <c:v>-1.8109009994077496E-2</c:v>
                </c:pt>
                <c:pt idx="23">
                  <c:v>-1.3179009998566471E-2</c:v>
                </c:pt>
                <c:pt idx="24">
                  <c:v>-2.0483239997702185E-2</c:v>
                </c:pt>
                <c:pt idx="25">
                  <c:v>-1.7033240001183003E-2</c:v>
                </c:pt>
                <c:pt idx="26">
                  <c:v>-2.0626079996873159E-2</c:v>
                </c:pt>
                <c:pt idx="27">
                  <c:v>-2.0196079996821936E-2</c:v>
                </c:pt>
                <c:pt idx="28">
                  <c:v>-2.4800920000416227E-2</c:v>
                </c:pt>
                <c:pt idx="29">
                  <c:v>-3.0937920084397774E-2</c:v>
                </c:pt>
                <c:pt idx="30">
                  <c:v>-2.5442150188609958E-2</c:v>
                </c:pt>
                <c:pt idx="31">
                  <c:v>-3.1627860153093934E-2</c:v>
                </c:pt>
                <c:pt idx="32">
                  <c:v>-4.0290700046170969E-2</c:v>
                </c:pt>
                <c:pt idx="33">
                  <c:v>-6.2893239999539219E-2</c:v>
                </c:pt>
                <c:pt idx="34">
                  <c:v>-7.3704410002392251E-2</c:v>
                </c:pt>
                <c:pt idx="35">
                  <c:v>-6.0610410000663251E-2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66-4F58-ABE4-DC76291FDE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66-4F58-ABE4-DC76291FDE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66-4F58-ABE4-DC76291FDE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66-4F58-ABE4-DC76291FDE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3.6863926725613436E-2</c:v>
                </c:pt>
                <c:pt idx="1">
                  <c:v>2.8316560676316611E-2</c:v>
                </c:pt>
                <c:pt idx="2">
                  <c:v>1.4142832112918436E-2</c:v>
                </c:pt>
                <c:pt idx="3">
                  <c:v>5.1739789763283056E-3</c:v>
                </c:pt>
                <c:pt idx="4">
                  <c:v>5.1543749257565233E-3</c:v>
                </c:pt>
                <c:pt idx="5">
                  <c:v>-9.5094549019361929E-3</c:v>
                </c:pt>
                <c:pt idx="6">
                  <c:v>-9.5241579398650314E-3</c:v>
                </c:pt>
                <c:pt idx="7">
                  <c:v>-9.7152974329399039E-3</c:v>
                </c:pt>
                <c:pt idx="8">
                  <c:v>-9.7152974329399039E-3</c:v>
                </c:pt>
                <c:pt idx="9">
                  <c:v>-9.8427237616564855E-3</c:v>
                </c:pt>
                <c:pt idx="10">
                  <c:v>-9.8427237616564855E-3</c:v>
                </c:pt>
                <c:pt idx="11">
                  <c:v>-1.0479855405239387E-2</c:v>
                </c:pt>
                <c:pt idx="12">
                  <c:v>-1.0479855405239387E-2</c:v>
                </c:pt>
                <c:pt idx="13">
                  <c:v>-1.0479855405239387E-2</c:v>
                </c:pt>
                <c:pt idx="14">
                  <c:v>-1.7904889559301709E-2</c:v>
                </c:pt>
                <c:pt idx="15">
                  <c:v>-1.7904889559301709E-2</c:v>
                </c:pt>
                <c:pt idx="16">
                  <c:v>-1.7924493609873492E-2</c:v>
                </c:pt>
                <c:pt idx="17">
                  <c:v>-1.7924493609873492E-2</c:v>
                </c:pt>
                <c:pt idx="18">
                  <c:v>-1.8115633102948364E-2</c:v>
                </c:pt>
                <c:pt idx="19">
                  <c:v>-1.8115633102948364E-2</c:v>
                </c:pt>
                <c:pt idx="20">
                  <c:v>-1.8135237153520146E-2</c:v>
                </c:pt>
                <c:pt idx="21">
                  <c:v>-1.8135237153520146E-2</c:v>
                </c:pt>
                <c:pt idx="22">
                  <c:v>-1.8179346267306655E-2</c:v>
                </c:pt>
                <c:pt idx="23">
                  <c:v>-1.8179346267306655E-2</c:v>
                </c:pt>
                <c:pt idx="24">
                  <c:v>-1.8243059431664946E-2</c:v>
                </c:pt>
                <c:pt idx="25">
                  <c:v>-1.8243059431664946E-2</c:v>
                </c:pt>
                <c:pt idx="26">
                  <c:v>-1.8262663482236728E-2</c:v>
                </c:pt>
                <c:pt idx="27">
                  <c:v>-1.8262663482236728E-2</c:v>
                </c:pt>
                <c:pt idx="28">
                  <c:v>-2.4163482704343021E-2</c:v>
                </c:pt>
                <c:pt idx="29">
                  <c:v>-3.2495204197350247E-2</c:v>
                </c:pt>
                <c:pt idx="30">
                  <c:v>-3.2558917361708531E-2</c:v>
                </c:pt>
                <c:pt idx="31">
                  <c:v>-3.2563818374351489E-2</c:v>
                </c:pt>
                <c:pt idx="32">
                  <c:v>-3.2583422424923264E-2</c:v>
                </c:pt>
                <c:pt idx="33">
                  <c:v>-6.2352173218173781E-2</c:v>
                </c:pt>
                <c:pt idx="34">
                  <c:v>-7.0816222052540539E-2</c:v>
                </c:pt>
                <c:pt idx="35">
                  <c:v>-6.3954804352416947E-2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66-4F58-ABE4-DC76291FDE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-2.3436999981640838E-3</c:v>
                </c:pt>
                <c:pt idx="6">
                  <c:v>-4.045150002639275E-3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66-4F58-ABE4-DC76291F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9280"/>
        <c:axId val="1"/>
      </c:scatterChart>
      <c:valAx>
        <c:axId val="67195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421052631578945"/>
              <c:y val="0.84548227389943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05870976654242E-2"/>
              <c:y val="0.31564472808245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616541353383459E-2"/>
          <c:y val="0.91545311938048557"/>
          <c:w val="0.87368421052631584"/>
          <c:h val="7.5801749271137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266700</xdr:colOff>
      <xdr:row>0</xdr:row>
      <xdr:rowOff>0</xdr:rowOff>
    </xdr:from>
    <xdr:to>
      <xdr:col>28</xdr:col>
      <xdr:colOff>428625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3B2B0C00-4EBA-9AE8-2AC1-8C366E95E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36952F0-7BDE-846E-E200-2F3BF7E3F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6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A57" sqref="A57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8.7109375" customWidth="1"/>
  </cols>
  <sheetData>
    <row r="1" spans="1:6" ht="20.25">
      <c r="A1" s="1" t="s">
        <v>40</v>
      </c>
    </row>
    <row r="2" spans="1:6">
      <c r="A2" t="s">
        <v>24</v>
      </c>
      <c r="B2" t="s">
        <v>41</v>
      </c>
      <c r="C2" s="3"/>
      <c r="D2" s="3"/>
      <c r="E2" s="10" t="s">
        <v>39</v>
      </c>
      <c r="F2" t="s">
        <v>49</v>
      </c>
    </row>
    <row r="3" spans="1:6" ht="13.5" thickBot="1"/>
    <row r="4" spans="1:6" ht="14.25" thickTop="1" thickBot="1">
      <c r="A4" s="5" t="s">
        <v>1</v>
      </c>
      <c r="C4" s="27" t="s">
        <v>38</v>
      </c>
      <c r="D4" s="28" t="s">
        <v>38</v>
      </c>
    </row>
    <row r="5" spans="1:6" ht="13.5" thickTop="1">
      <c r="A5" s="9" t="s">
        <v>29</v>
      </c>
      <c r="B5" s="10"/>
      <c r="C5" s="11">
        <v>-9.5</v>
      </c>
      <c r="D5" s="10" t="s">
        <v>30</v>
      </c>
    </row>
    <row r="6" spans="1:6">
      <c r="A6" s="5" t="s">
        <v>2</v>
      </c>
    </row>
    <row r="7" spans="1:6">
      <c r="A7" t="s">
        <v>3</v>
      </c>
      <c r="C7" s="8">
        <v>54507.400699999998</v>
      </c>
      <c r="D7" s="29" t="s">
        <v>42</v>
      </c>
    </row>
    <row r="8" spans="1:6">
      <c r="A8" t="s">
        <v>4</v>
      </c>
      <c r="C8" s="8">
        <v>0.46211141999999999</v>
      </c>
      <c r="D8" s="29" t="s">
        <v>42</v>
      </c>
    </row>
    <row r="9" spans="1:6">
      <c r="A9" s="24" t="s">
        <v>33</v>
      </c>
      <c r="B9" s="25">
        <v>40</v>
      </c>
      <c r="C9" s="22" t="str">
        <f>"F"&amp;B9</f>
        <v>F40</v>
      </c>
      <c r="D9" s="23" t="str">
        <f>"G"&amp;B9</f>
        <v>G40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21">
        <f ca="1">INTERCEPT(INDIRECT($D$9):G992,INDIRECT($C$9):F992)</f>
        <v>3.6863926725613436E-2</v>
      </c>
      <c r="D11" s="3"/>
      <c r="E11" s="10"/>
    </row>
    <row r="12" spans="1:6">
      <c r="A12" s="10" t="s">
        <v>17</v>
      </c>
      <c r="B12" s="10"/>
      <c r="C12" s="21">
        <f ca="1">SLOPE(INDIRECT($D$9):G992,INDIRECT($C$9):F992)</f>
        <v>-9.8020252858908538E-6</v>
      </c>
      <c r="D12" s="3"/>
      <c r="E12" s="10"/>
    </row>
    <row r="13" spans="1:6">
      <c r="A13" s="10" t="s">
        <v>19</v>
      </c>
      <c r="B13" s="10"/>
      <c r="C13" s="3" t="s">
        <v>14</v>
      </c>
    </row>
    <row r="14" spans="1:6">
      <c r="A14" s="10"/>
      <c r="B14" s="10"/>
      <c r="C14" s="10"/>
    </row>
    <row r="15" spans="1:6">
      <c r="A15" s="12" t="s">
        <v>18</v>
      </c>
      <c r="B15" s="10"/>
      <c r="C15" s="13">
        <f ca="1">(C7+C11)+(C8+C12)*INT(MAX(F21:F3533))</f>
        <v>59583.62383737896</v>
      </c>
      <c r="E15" s="14" t="s">
        <v>35</v>
      </c>
      <c r="F15" s="11">
        <v>1</v>
      </c>
    </row>
    <row r="16" spans="1:6">
      <c r="A16" s="16" t="s">
        <v>5</v>
      </c>
      <c r="B16" s="10"/>
      <c r="C16" s="17">
        <f ca="1">+C8+C12</f>
        <v>0.46210161797471411</v>
      </c>
      <c r="E16" s="14" t="s">
        <v>31</v>
      </c>
      <c r="F16" s="15">
        <f ca="1">NOW()+15018.5+$C$5/24</f>
        <v>59958.754684027772</v>
      </c>
    </row>
    <row r="17" spans="1:21" ht="13.5" thickBot="1">
      <c r="A17" s="14" t="s">
        <v>28</v>
      </c>
      <c r="B17" s="10"/>
      <c r="C17" s="10">
        <f>COUNT(C21:C2191)</f>
        <v>36</v>
      </c>
      <c r="E17" s="14" t="s">
        <v>36</v>
      </c>
      <c r="F17" s="15">
        <f ca="1">ROUND(2*(F16-$C$7)/$C$8,0)/2+F15</f>
        <v>11797.5</v>
      </c>
    </row>
    <row r="18" spans="1:21" ht="14.25" thickTop="1" thickBot="1">
      <c r="A18" s="16" t="s">
        <v>6</v>
      </c>
      <c r="B18" s="10"/>
      <c r="C18" s="19">
        <f ca="1">+C15</f>
        <v>59583.62383737896</v>
      </c>
      <c r="D18" s="20">
        <f ca="1">+C16</f>
        <v>0.46210161797471411</v>
      </c>
      <c r="E18" s="14" t="s">
        <v>37</v>
      </c>
      <c r="F18" s="23">
        <f ca="1">ROUND(2*(F16-$C$15)/$C$16,0)/2+F15</f>
        <v>813</v>
      </c>
    </row>
    <row r="19" spans="1:21" ht="13.5" thickTop="1">
      <c r="E19" s="14" t="s">
        <v>32</v>
      </c>
      <c r="F19" s="18">
        <f ca="1">+$C$15+$C$16*F18-15018.5-$C$5/24</f>
        <v>44941.208286125737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>
      <c r="A21" t="str">
        <f>D7</f>
        <v>BRNO</v>
      </c>
      <c r="C21" s="8">
        <f>C$7</f>
        <v>54507.400699999998</v>
      </c>
      <c r="D21" s="8" t="s">
        <v>14</v>
      </c>
      <c r="E21">
        <f t="shared" ref="E21:E55" si="0">+(C21-C$7)/C$8</f>
        <v>0</v>
      </c>
      <c r="F21">
        <f t="shared" ref="F21:F56" si="1">ROUND(2*E21,0)/2</f>
        <v>0</v>
      </c>
      <c r="G21">
        <f>+C21-(C$7+F21*C$8)</f>
        <v>0</v>
      </c>
      <c r="K21">
        <f>+G21</f>
        <v>0</v>
      </c>
      <c r="O21">
        <f t="shared" ref="O21:O55" ca="1" si="2">+C$11+C$12*$F21</f>
        <v>3.6863926725613436E-2</v>
      </c>
      <c r="Q21" s="2">
        <f t="shared" ref="Q21:Q55" si="3">+C21-15018.5</f>
        <v>39488.900699999998</v>
      </c>
    </row>
    <row r="22" spans="1:21">
      <c r="A22" s="32" t="s">
        <v>43</v>
      </c>
      <c r="B22" s="33" t="s">
        <v>44</v>
      </c>
      <c r="C22" s="34">
        <v>54910.359700000001</v>
      </c>
      <c r="D22" s="34">
        <v>4.1999999999999997E-3</v>
      </c>
      <c r="E22">
        <f t="shared" si="0"/>
        <v>871.99532961120622</v>
      </c>
      <c r="F22">
        <f t="shared" si="1"/>
        <v>872</v>
      </c>
      <c r="G22">
        <f>+C22-(C$7+F22*C$8)</f>
        <v>-2.1582400004263036E-3</v>
      </c>
      <c r="J22">
        <f>+G22</f>
        <v>-2.1582400004263036E-3</v>
      </c>
      <c r="O22">
        <f t="shared" ca="1" si="2"/>
        <v>2.8316560676316611E-2</v>
      </c>
      <c r="Q22" s="2">
        <f t="shared" si="3"/>
        <v>39891.859700000001</v>
      </c>
    </row>
    <row r="23" spans="1:21">
      <c r="A23" s="37" t="s">
        <v>50</v>
      </c>
      <c r="B23" s="37"/>
      <c r="C23" s="31">
        <v>55578.566200000001</v>
      </c>
      <c r="D23" s="31">
        <v>4.4999999999999997E-3</v>
      </c>
      <c r="E23">
        <f t="shared" si="0"/>
        <v>2317.9810185171418</v>
      </c>
      <c r="F23">
        <f t="shared" si="1"/>
        <v>2318</v>
      </c>
      <c r="G23">
        <f>+C23-(C$7+F23*C$8)</f>
        <v>-8.7715599947841838E-3</v>
      </c>
      <c r="J23">
        <f>+G23</f>
        <v>-8.7715599947841838E-3</v>
      </c>
      <c r="O23">
        <f t="shared" ca="1" si="2"/>
        <v>1.4142832112918436E-2</v>
      </c>
      <c r="Q23" s="2">
        <f t="shared" si="3"/>
        <v>40560.066200000001</v>
      </c>
    </row>
    <row r="24" spans="1:21">
      <c r="A24" s="32" t="s">
        <v>45</v>
      </c>
      <c r="B24" s="33" t="s">
        <v>44</v>
      </c>
      <c r="C24" s="34">
        <v>56001.393799999998</v>
      </c>
      <c r="D24" s="34">
        <v>1E-3</v>
      </c>
      <c r="E24">
        <f t="shared" si="0"/>
        <v>3232.9716067177037</v>
      </c>
      <c r="F24">
        <f t="shared" si="1"/>
        <v>3233</v>
      </c>
      <c r="G24">
        <f>+C24-(C$7+F24*C$8)</f>
        <v>-1.3120859999617096E-2</v>
      </c>
      <c r="J24">
        <f>+G24</f>
        <v>-1.3120859999617096E-2</v>
      </c>
      <c r="O24">
        <f t="shared" ca="1" si="2"/>
        <v>5.1739789763283056E-3</v>
      </c>
      <c r="Q24" s="2">
        <f t="shared" si="3"/>
        <v>40982.893799999998</v>
      </c>
    </row>
    <row r="25" spans="1:21">
      <c r="A25" s="32" t="s">
        <v>45</v>
      </c>
      <c r="B25" s="33" t="s">
        <v>44</v>
      </c>
      <c r="C25" s="34">
        <v>56002.328800000003</v>
      </c>
      <c r="D25" s="34">
        <v>2.5000000000000001E-3</v>
      </c>
      <c r="E25">
        <f t="shared" si="0"/>
        <v>3234.9949282794282</v>
      </c>
      <c r="F25">
        <f t="shared" si="1"/>
        <v>3235</v>
      </c>
      <c r="O25">
        <f t="shared" ca="1" si="2"/>
        <v>5.1543749257565233E-3</v>
      </c>
      <c r="Q25" s="2">
        <f t="shared" si="3"/>
        <v>40983.828800000003</v>
      </c>
      <c r="U25">
        <f>+C25-(C$7+F25*C$8)</f>
        <v>-2.3436999981640838E-3</v>
      </c>
    </row>
    <row r="26" spans="1:21">
      <c r="A26" s="30" t="s">
        <v>46</v>
      </c>
      <c r="B26" s="35"/>
      <c r="C26" s="34">
        <v>56693.636500000001</v>
      </c>
      <c r="D26" s="34">
        <v>5.0000000000000001E-4</v>
      </c>
      <c r="E26">
        <f t="shared" si="0"/>
        <v>4730.9711584275547</v>
      </c>
      <c r="F26">
        <f t="shared" si="1"/>
        <v>4731</v>
      </c>
      <c r="G26">
        <f>+C26-(C$7+F26*C$8)</f>
        <v>-1.3328019995242357E-2</v>
      </c>
      <c r="K26">
        <f>+G26</f>
        <v>-1.3328019995242357E-2</v>
      </c>
      <c r="O26">
        <f t="shared" ca="1" si="2"/>
        <v>-9.5094549019361929E-3</v>
      </c>
      <c r="Q26" s="2">
        <f t="shared" si="3"/>
        <v>41675.136500000001</v>
      </c>
    </row>
    <row r="27" spans="1:21">
      <c r="A27" s="34" t="s">
        <v>47</v>
      </c>
      <c r="B27" s="33" t="s">
        <v>48</v>
      </c>
      <c r="C27" s="36">
        <v>56694.338949999998</v>
      </c>
      <c r="D27" s="34">
        <v>1.1000000000000001E-3</v>
      </c>
      <c r="E27">
        <f t="shared" si="0"/>
        <v>4732.4912463751689</v>
      </c>
      <c r="F27">
        <f t="shared" si="1"/>
        <v>4732.5</v>
      </c>
      <c r="O27">
        <f t="shared" ca="1" si="2"/>
        <v>-9.5241579398650314E-3</v>
      </c>
      <c r="Q27" s="2">
        <f t="shared" si="3"/>
        <v>41675.838949999998</v>
      </c>
      <c r="U27">
        <f>+C27-(C$7+F27*C$8)</f>
        <v>-4.045150002639275E-3</v>
      </c>
    </row>
    <row r="28" spans="1:21">
      <c r="A28" s="34" t="s">
        <v>47</v>
      </c>
      <c r="B28" s="33" t="s">
        <v>44</v>
      </c>
      <c r="C28" s="36">
        <v>56703.33741</v>
      </c>
      <c r="D28" s="34">
        <v>5.9999999999999995E-4</v>
      </c>
      <c r="E28">
        <f t="shared" si="0"/>
        <v>4751.9637363647098</v>
      </c>
      <c r="F28">
        <f t="shared" si="1"/>
        <v>4752</v>
      </c>
      <c r="G28">
        <f t="shared" ref="G28:G55" si="4">+C28-(C$7+F28*C$8)</f>
        <v>-1.6757839999627322E-2</v>
      </c>
      <c r="K28">
        <f t="shared" ref="K28:K55" si="5">+G28</f>
        <v>-1.6757839999627322E-2</v>
      </c>
      <c r="O28">
        <f t="shared" ca="1" si="2"/>
        <v>-9.7152974329399039E-3</v>
      </c>
      <c r="Q28" s="2">
        <f t="shared" si="3"/>
        <v>41684.83741</v>
      </c>
    </row>
    <row r="29" spans="1:21">
      <c r="A29" s="34" t="s">
        <v>47</v>
      </c>
      <c r="B29" s="33" t="s">
        <v>44</v>
      </c>
      <c r="C29" s="36">
        <v>56703.340609999999</v>
      </c>
      <c r="D29" s="34">
        <v>6.9999999999999999E-4</v>
      </c>
      <c r="E29">
        <f t="shared" si="0"/>
        <v>4751.9706611016036</v>
      </c>
      <c r="F29">
        <f t="shared" si="1"/>
        <v>4752</v>
      </c>
      <c r="G29">
        <f t="shared" si="4"/>
        <v>-1.3557840000430588E-2</v>
      </c>
      <c r="K29">
        <f t="shared" si="5"/>
        <v>-1.3557840000430588E-2</v>
      </c>
      <c r="O29">
        <f t="shared" ca="1" si="2"/>
        <v>-9.7152974329399039E-3</v>
      </c>
      <c r="Q29" s="2">
        <f t="shared" si="3"/>
        <v>41684.840609999999</v>
      </c>
    </row>
    <row r="30" spans="1:21">
      <c r="A30" s="34" t="s">
        <v>47</v>
      </c>
      <c r="B30" s="33" t="s">
        <v>44</v>
      </c>
      <c r="C30" s="36">
        <v>56709.342360000002</v>
      </c>
      <c r="D30" s="34">
        <v>5.0000000000000001E-4</v>
      </c>
      <c r="E30">
        <f t="shared" si="0"/>
        <v>4764.9583297465451</v>
      </c>
      <c r="F30">
        <f t="shared" si="1"/>
        <v>4765</v>
      </c>
      <c r="G30">
        <f t="shared" si="4"/>
        <v>-1.9256299994594883E-2</v>
      </c>
      <c r="K30">
        <f t="shared" si="5"/>
        <v>-1.9256299994594883E-2</v>
      </c>
      <c r="O30">
        <f t="shared" ca="1" si="2"/>
        <v>-9.8427237616564855E-3</v>
      </c>
      <c r="Q30" s="2">
        <f t="shared" si="3"/>
        <v>41690.842360000002</v>
      </c>
    </row>
    <row r="31" spans="1:21">
      <c r="A31" s="34" t="s">
        <v>47</v>
      </c>
      <c r="B31" s="33" t="s">
        <v>44</v>
      </c>
      <c r="C31" s="36">
        <v>56709.343500000003</v>
      </c>
      <c r="D31" s="34">
        <v>1E-4</v>
      </c>
      <c r="E31">
        <f t="shared" si="0"/>
        <v>4764.9607966840649</v>
      </c>
      <c r="F31">
        <f t="shared" si="1"/>
        <v>4765</v>
      </c>
      <c r="G31">
        <f t="shared" si="4"/>
        <v>-1.8116299994289875E-2</v>
      </c>
      <c r="K31">
        <f t="shared" si="5"/>
        <v>-1.8116299994289875E-2</v>
      </c>
      <c r="O31">
        <f t="shared" ca="1" si="2"/>
        <v>-9.8427237616564855E-3</v>
      </c>
      <c r="Q31" s="2">
        <f t="shared" si="3"/>
        <v>41690.843500000003</v>
      </c>
    </row>
    <row r="32" spans="1:21">
      <c r="A32" s="34" t="s">
        <v>47</v>
      </c>
      <c r="B32" s="33" t="s">
        <v>44</v>
      </c>
      <c r="C32" s="36">
        <v>56739.378750000003</v>
      </c>
      <c r="D32" s="34">
        <v>1.5E-3</v>
      </c>
      <c r="E32">
        <f t="shared" si="0"/>
        <v>4829.9564853861548</v>
      </c>
      <c r="F32">
        <f t="shared" si="1"/>
        <v>4830</v>
      </c>
      <c r="G32">
        <f t="shared" si="4"/>
        <v>-2.0108599994273391E-2</v>
      </c>
      <c r="K32">
        <f t="shared" si="5"/>
        <v>-2.0108599994273391E-2</v>
      </c>
      <c r="O32">
        <f t="shared" ca="1" si="2"/>
        <v>-1.0479855405239387E-2</v>
      </c>
      <c r="Q32" s="2">
        <f t="shared" si="3"/>
        <v>41720.878750000003</v>
      </c>
    </row>
    <row r="33" spans="1:17">
      <c r="A33" s="34" t="s">
        <v>47</v>
      </c>
      <c r="B33" s="33" t="s">
        <v>44</v>
      </c>
      <c r="C33" s="36">
        <v>56739.383730000001</v>
      </c>
      <c r="D33" s="34">
        <v>3.2000000000000002E-3</v>
      </c>
      <c r="E33">
        <f t="shared" si="0"/>
        <v>4829.9672620079436</v>
      </c>
      <c r="F33">
        <f t="shared" si="1"/>
        <v>4830</v>
      </c>
      <c r="G33">
        <f t="shared" si="4"/>
        <v>-1.5128599996387493E-2</v>
      </c>
      <c r="K33">
        <f t="shared" si="5"/>
        <v>-1.5128599996387493E-2</v>
      </c>
      <c r="O33">
        <f t="shared" ca="1" si="2"/>
        <v>-1.0479855405239387E-2</v>
      </c>
      <c r="Q33" s="2">
        <f t="shared" si="3"/>
        <v>41720.883730000001</v>
      </c>
    </row>
    <row r="34" spans="1:17">
      <c r="A34" s="34" t="s">
        <v>47</v>
      </c>
      <c r="B34" s="33" t="s">
        <v>44</v>
      </c>
      <c r="C34" s="36">
        <v>56739.384169999998</v>
      </c>
      <c r="D34" s="34">
        <v>1.4E-3</v>
      </c>
      <c r="E34">
        <f t="shared" si="0"/>
        <v>4829.9682141592593</v>
      </c>
      <c r="F34">
        <f t="shared" si="1"/>
        <v>4830</v>
      </c>
      <c r="G34">
        <f t="shared" si="4"/>
        <v>-1.468860000022687E-2</v>
      </c>
      <c r="K34">
        <f t="shared" si="5"/>
        <v>-1.468860000022687E-2</v>
      </c>
      <c r="O34">
        <f t="shared" ca="1" si="2"/>
        <v>-1.0479855405239387E-2</v>
      </c>
      <c r="Q34" s="2">
        <f t="shared" si="3"/>
        <v>41720.884169999998</v>
      </c>
    </row>
    <row r="35" spans="1:17">
      <c r="A35" s="54" t="s">
        <v>83</v>
      </c>
      <c r="B35" s="55" t="s">
        <v>48</v>
      </c>
      <c r="C35" s="56">
        <v>57089.426590000003</v>
      </c>
      <c r="D35" s="56">
        <v>1.4E-3</v>
      </c>
      <c r="E35">
        <f t="shared" si="0"/>
        <v>5587.453108170329</v>
      </c>
      <c r="F35">
        <f t="shared" si="1"/>
        <v>5587.5</v>
      </c>
      <c r="G35">
        <f t="shared" si="4"/>
        <v>-2.1669249996193685E-2</v>
      </c>
      <c r="K35">
        <f t="shared" si="5"/>
        <v>-2.1669249996193685E-2</v>
      </c>
      <c r="O35">
        <f t="shared" ca="1" si="2"/>
        <v>-1.7904889559301709E-2</v>
      </c>
      <c r="Q35" s="2">
        <f t="shared" si="3"/>
        <v>42070.926590000003</v>
      </c>
    </row>
    <row r="36" spans="1:17">
      <c r="A36" s="54" t="s">
        <v>83</v>
      </c>
      <c r="B36" s="55" t="s">
        <v>48</v>
      </c>
      <c r="C36" s="56">
        <v>57089.433669999999</v>
      </c>
      <c r="D36" s="56">
        <v>1.6999999999999999E-3</v>
      </c>
      <c r="E36">
        <f t="shared" si="0"/>
        <v>5587.4684291507019</v>
      </c>
      <c r="F36">
        <f t="shared" si="1"/>
        <v>5587.5</v>
      </c>
      <c r="G36">
        <f t="shared" si="4"/>
        <v>-1.4589250000426546E-2</v>
      </c>
      <c r="K36">
        <f t="shared" si="5"/>
        <v>-1.4589250000426546E-2</v>
      </c>
      <c r="O36">
        <f t="shared" ca="1" si="2"/>
        <v>-1.7904889559301709E-2</v>
      </c>
      <c r="Q36" s="2">
        <f t="shared" si="3"/>
        <v>42070.933669999999</v>
      </c>
    </row>
    <row r="37" spans="1:17">
      <c r="A37" s="54" t="s">
        <v>83</v>
      </c>
      <c r="B37" s="55" t="s">
        <v>48</v>
      </c>
      <c r="C37" s="56">
        <v>57090.349040000001</v>
      </c>
      <c r="D37" s="56">
        <v>1.5E-3</v>
      </c>
      <c r="E37">
        <f t="shared" si="0"/>
        <v>5589.4492717795256</v>
      </c>
      <c r="F37">
        <f t="shared" si="1"/>
        <v>5589.5</v>
      </c>
      <c r="G37">
        <f t="shared" si="4"/>
        <v>-2.3442089994205162E-2</v>
      </c>
      <c r="K37">
        <f t="shared" si="5"/>
        <v>-2.3442089994205162E-2</v>
      </c>
      <c r="O37">
        <f t="shared" ca="1" si="2"/>
        <v>-1.7924493609873492E-2</v>
      </c>
      <c r="Q37" s="2">
        <f t="shared" si="3"/>
        <v>42071.849040000001</v>
      </c>
    </row>
    <row r="38" spans="1:17">
      <c r="A38" s="54" t="s">
        <v>83</v>
      </c>
      <c r="B38" s="55" t="s">
        <v>48</v>
      </c>
      <c r="C38" s="56">
        <v>57090.352910000001</v>
      </c>
      <c r="D38" s="56">
        <v>1E-3</v>
      </c>
      <c r="E38">
        <f t="shared" si="0"/>
        <v>5589.45764638321</v>
      </c>
      <c r="F38">
        <f t="shared" si="1"/>
        <v>5589.5</v>
      </c>
      <c r="G38">
        <f t="shared" si="4"/>
        <v>-1.9572089993744157E-2</v>
      </c>
      <c r="K38">
        <f t="shared" si="5"/>
        <v>-1.9572089993744157E-2</v>
      </c>
      <c r="O38">
        <f t="shared" ca="1" si="2"/>
        <v>-1.7924493609873492E-2</v>
      </c>
      <c r="Q38" s="2">
        <f t="shared" si="3"/>
        <v>42071.852910000001</v>
      </c>
    </row>
    <row r="39" spans="1:17">
      <c r="A39" s="54" t="s">
        <v>83</v>
      </c>
      <c r="B39" s="55" t="s">
        <v>44</v>
      </c>
      <c r="C39" s="56">
        <v>57099.366040000001</v>
      </c>
      <c r="D39" s="56">
        <v>5.0000000000000001E-4</v>
      </c>
      <c r="E39">
        <f t="shared" si="0"/>
        <v>5608.9618819634507</v>
      </c>
      <c r="F39">
        <f t="shared" si="1"/>
        <v>5609</v>
      </c>
      <c r="G39">
        <f t="shared" si="4"/>
        <v>-1.7614780001167674E-2</v>
      </c>
      <c r="K39">
        <f t="shared" si="5"/>
        <v>-1.7614780001167674E-2</v>
      </c>
      <c r="O39">
        <f t="shared" ca="1" si="2"/>
        <v>-1.8115633102948364E-2</v>
      </c>
      <c r="Q39" s="2">
        <f t="shared" si="3"/>
        <v>42080.866040000001</v>
      </c>
    </row>
    <row r="40" spans="1:17">
      <c r="A40" s="54" t="s">
        <v>83</v>
      </c>
      <c r="B40" s="55" t="s">
        <v>44</v>
      </c>
      <c r="C40" s="56">
        <v>57099.367839999999</v>
      </c>
      <c r="D40" s="56">
        <v>8.9999999999999998E-4</v>
      </c>
      <c r="E40">
        <f t="shared" si="0"/>
        <v>5608.9657771279508</v>
      </c>
      <c r="F40">
        <f t="shared" si="1"/>
        <v>5609</v>
      </c>
      <c r="G40">
        <f t="shared" si="4"/>
        <v>-1.5814780002983753E-2</v>
      </c>
      <c r="K40">
        <f t="shared" si="5"/>
        <v>-1.5814780002983753E-2</v>
      </c>
      <c r="O40">
        <f t="shared" ca="1" si="2"/>
        <v>-1.8115633102948364E-2</v>
      </c>
      <c r="Q40" s="2">
        <f t="shared" si="3"/>
        <v>42080.867839999999</v>
      </c>
    </row>
    <row r="41" spans="1:17">
      <c r="A41" s="54" t="s">
        <v>83</v>
      </c>
      <c r="B41" s="55" t="s">
        <v>44</v>
      </c>
      <c r="C41" s="56">
        <v>57100.286090000001</v>
      </c>
      <c r="D41" s="56">
        <v>8.0000000000000004E-4</v>
      </c>
      <c r="E41">
        <f t="shared" si="0"/>
        <v>5610.952852019981</v>
      </c>
      <c r="F41">
        <f t="shared" si="1"/>
        <v>5611</v>
      </c>
      <c r="G41">
        <f t="shared" si="4"/>
        <v>-2.1787619996757712E-2</v>
      </c>
      <c r="K41">
        <f t="shared" si="5"/>
        <v>-2.1787619996757712E-2</v>
      </c>
      <c r="O41">
        <f t="shared" ca="1" si="2"/>
        <v>-1.8135237153520146E-2</v>
      </c>
      <c r="Q41" s="2">
        <f t="shared" si="3"/>
        <v>42081.786090000001</v>
      </c>
    </row>
    <row r="42" spans="1:17">
      <c r="A42" s="54" t="s">
        <v>83</v>
      </c>
      <c r="B42" s="55" t="s">
        <v>44</v>
      </c>
      <c r="C42" s="56">
        <v>57100.29017</v>
      </c>
      <c r="D42" s="56">
        <v>6.9999999999999999E-4</v>
      </c>
      <c r="E42">
        <f t="shared" si="0"/>
        <v>5610.9616810595198</v>
      </c>
      <c r="F42">
        <f t="shared" si="1"/>
        <v>5611</v>
      </c>
      <c r="G42">
        <f t="shared" si="4"/>
        <v>-1.7707619997963775E-2</v>
      </c>
      <c r="K42">
        <f t="shared" si="5"/>
        <v>-1.7707619997963775E-2</v>
      </c>
      <c r="O42">
        <f t="shared" ca="1" si="2"/>
        <v>-1.8135237153520146E-2</v>
      </c>
      <c r="Q42" s="2">
        <f t="shared" si="3"/>
        <v>42081.79017</v>
      </c>
    </row>
    <row r="43" spans="1:17">
      <c r="A43" s="54" t="s">
        <v>83</v>
      </c>
      <c r="B43" s="55" t="s">
        <v>48</v>
      </c>
      <c r="C43" s="56">
        <v>57102.369270000003</v>
      </c>
      <c r="D43" s="56">
        <v>8.0000000000000004E-4</v>
      </c>
      <c r="E43">
        <f t="shared" si="0"/>
        <v>5615.4608124594815</v>
      </c>
      <c r="F43">
        <f t="shared" si="1"/>
        <v>5615.5</v>
      </c>
      <c r="G43">
        <f t="shared" si="4"/>
        <v>-1.8109009994077496E-2</v>
      </c>
      <c r="K43">
        <f t="shared" si="5"/>
        <v>-1.8109009994077496E-2</v>
      </c>
      <c r="O43">
        <f t="shared" ca="1" si="2"/>
        <v>-1.8179346267306655E-2</v>
      </c>
      <c r="Q43" s="2">
        <f t="shared" si="3"/>
        <v>42083.869270000003</v>
      </c>
    </row>
    <row r="44" spans="1:17">
      <c r="A44" s="54" t="s">
        <v>83</v>
      </c>
      <c r="B44" s="55" t="s">
        <v>48</v>
      </c>
      <c r="C44" s="56">
        <v>57102.374199999998</v>
      </c>
      <c r="D44" s="56">
        <v>1.1999999999999999E-3</v>
      </c>
      <c r="E44">
        <f t="shared" si="0"/>
        <v>5615.4714808822519</v>
      </c>
      <c r="F44">
        <f t="shared" si="1"/>
        <v>5615.5</v>
      </c>
      <c r="G44">
        <f t="shared" si="4"/>
        <v>-1.3179009998566471E-2</v>
      </c>
      <c r="K44">
        <f t="shared" si="5"/>
        <v>-1.3179009998566471E-2</v>
      </c>
      <c r="O44">
        <f t="shared" ca="1" si="2"/>
        <v>-1.8179346267306655E-2</v>
      </c>
      <c r="Q44" s="2">
        <f t="shared" si="3"/>
        <v>42083.874199999998</v>
      </c>
    </row>
    <row r="45" spans="1:17">
      <c r="A45" s="54" t="s">
        <v>83</v>
      </c>
      <c r="B45" s="55" t="s">
        <v>44</v>
      </c>
      <c r="C45" s="56">
        <v>57105.370620000002</v>
      </c>
      <c r="D45" s="56">
        <v>1.4E-3</v>
      </c>
      <c r="E45">
        <f t="shared" si="0"/>
        <v>5621.9556746725784</v>
      </c>
      <c r="F45">
        <f t="shared" si="1"/>
        <v>5622</v>
      </c>
      <c r="G45">
        <f t="shared" si="4"/>
        <v>-2.0483239997702185E-2</v>
      </c>
      <c r="K45">
        <f t="shared" si="5"/>
        <v>-2.0483239997702185E-2</v>
      </c>
      <c r="O45">
        <f t="shared" ca="1" si="2"/>
        <v>-1.8243059431664946E-2</v>
      </c>
      <c r="Q45" s="2">
        <f t="shared" si="3"/>
        <v>42086.870620000002</v>
      </c>
    </row>
    <row r="46" spans="1:17">
      <c r="A46" s="54" t="s">
        <v>83</v>
      </c>
      <c r="B46" s="55" t="s">
        <v>44</v>
      </c>
      <c r="C46" s="56">
        <v>57105.374069999998</v>
      </c>
      <c r="D46" s="56">
        <v>5.9999999999999995E-4</v>
      </c>
      <c r="E46">
        <f t="shared" si="0"/>
        <v>5621.9631404045367</v>
      </c>
      <c r="F46">
        <f t="shared" si="1"/>
        <v>5622</v>
      </c>
      <c r="G46">
        <f t="shared" si="4"/>
        <v>-1.7033240001183003E-2</v>
      </c>
      <c r="K46">
        <f t="shared" si="5"/>
        <v>-1.7033240001183003E-2</v>
      </c>
      <c r="O46">
        <f t="shared" ca="1" si="2"/>
        <v>-1.8243059431664946E-2</v>
      </c>
      <c r="Q46" s="2">
        <f t="shared" si="3"/>
        <v>42086.874069999998</v>
      </c>
    </row>
    <row r="47" spans="1:17">
      <c r="A47" s="54" t="s">
        <v>83</v>
      </c>
      <c r="B47" s="55" t="s">
        <v>44</v>
      </c>
      <c r="C47" s="56">
        <v>57106.294699999999</v>
      </c>
      <c r="D47" s="56">
        <v>8.0000000000000004E-4</v>
      </c>
      <c r="E47">
        <f t="shared" si="0"/>
        <v>5623.9553655696291</v>
      </c>
      <c r="F47">
        <f t="shared" si="1"/>
        <v>5624</v>
      </c>
      <c r="G47">
        <f t="shared" si="4"/>
        <v>-2.0626079996873159E-2</v>
      </c>
      <c r="K47">
        <f t="shared" si="5"/>
        <v>-2.0626079996873159E-2</v>
      </c>
      <c r="O47">
        <f t="shared" ca="1" si="2"/>
        <v>-1.8262663482236728E-2</v>
      </c>
      <c r="Q47" s="2">
        <f t="shared" si="3"/>
        <v>42087.794699999999</v>
      </c>
    </row>
    <row r="48" spans="1:17">
      <c r="A48" s="54" t="s">
        <v>83</v>
      </c>
      <c r="B48" s="55" t="s">
        <v>44</v>
      </c>
      <c r="C48" s="56">
        <v>57106.295129999999</v>
      </c>
      <c r="D48" s="56">
        <v>3.0999999999999999E-3</v>
      </c>
      <c r="E48">
        <f t="shared" si="0"/>
        <v>5623.956296081149</v>
      </c>
      <c r="F48">
        <f t="shared" si="1"/>
        <v>5624</v>
      </c>
      <c r="G48">
        <f t="shared" si="4"/>
        <v>-2.0196079996821936E-2</v>
      </c>
      <c r="K48">
        <f t="shared" si="5"/>
        <v>-2.0196079996821936E-2</v>
      </c>
      <c r="O48">
        <f t="shared" ca="1" si="2"/>
        <v>-1.8262663482236728E-2</v>
      </c>
      <c r="Q48" s="2">
        <f t="shared" si="3"/>
        <v>42087.795129999999</v>
      </c>
    </row>
    <row r="49" spans="1:17">
      <c r="A49" s="51" t="s">
        <v>0</v>
      </c>
      <c r="B49" s="52" t="s">
        <v>44</v>
      </c>
      <c r="C49" s="53">
        <v>57384.481599999999</v>
      </c>
      <c r="D49" s="53">
        <v>3.8E-3</v>
      </c>
      <c r="E49">
        <f t="shared" si="0"/>
        <v>6225.9463312981979</v>
      </c>
      <c r="F49">
        <f t="shared" si="1"/>
        <v>6226</v>
      </c>
      <c r="G49">
        <f t="shared" si="4"/>
        <v>-2.4800920000416227E-2</v>
      </c>
      <c r="K49">
        <f t="shared" si="5"/>
        <v>-2.4800920000416227E-2</v>
      </c>
      <c r="O49">
        <f t="shared" ca="1" si="2"/>
        <v>-2.4163482704343021E-2</v>
      </c>
      <c r="Q49" s="2">
        <f t="shared" si="3"/>
        <v>42365.981599999999</v>
      </c>
    </row>
    <row r="50" spans="1:17">
      <c r="A50" s="58" t="s">
        <v>85</v>
      </c>
      <c r="B50" s="59" t="s">
        <v>44</v>
      </c>
      <c r="C50" s="60">
        <v>57777.270169999916</v>
      </c>
      <c r="D50" s="60">
        <v>5.9999999999999995E-4</v>
      </c>
      <c r="E50">
        <f t="shared" si="0"/>
        <v>7075.933050951041</v>
      </c>
      <c r="F50">
        <f t="shared" si="1"/>
        <v>7076</v>
      </c>
      <c r="G50">
        <f t="shared" si="4"/>
        <v>-3.0937920084397774E-2</v>
      </c>
      <c r="K50">
        <f t="shared" si="5"/>
        <v>-3.0937920084397774E-2</v>
      </c>
      <c r="O50">
        <f t="shared" ca="1" si="2"/>
        <v>-3.2495204197350247E-2</v>
      </c>
      <c r="Q50" s="2">
        <f t="shared" si="3"/>
        <v>42758.770169999916</v>
      </c>
    </row>
    <row r="51" spans="1:17">
      <c r="A51" s="58" t="s">
        <v>85</v>
      </c>
      <c r="B51" s="59" t="s">
        <v>48</v>
      </c>
      <c r="C51" s="60">
        <v>57780.279389999807</v>
      </c>
      <c r="D51" s="60">
        <v>8.0000000000000004E-4</v>
      </c>
      <c r="E51">
        <f t="shared" si="0"/>
        <v>7082.4449436887071</v>
      </c>
      <c r="F51">
        <f t="shared" si="1"/>
        <v>7082.5</v>
      </c>
      <c r="G51">
        <f t="shared" si="4"/>
        <v>-2.5442150188609958E-2</v>
      </c>
      <c r="K51">
        <f t="shared" si="5"/>
        <v>-2.5442150188609958E-2</v>
      </c>
      <c r="O51">
        <f t="shared" ca="1" si="2"/>
        <v>-3.2558917361708531E-2</v>
      </c>
      <c r="Q51" s="2">
        <f t="shared" si="3"/>
        <v>42761.779389999807</v>
      </c>
    </row>
    <row r="52" spans="1:17">
      <c r="A52" s="58" t="s">
        <v>85</v>
      </c>
      <c r="B52" s="59" t="s">
        <v>44</v>
      </c>
      <c r="C52" s="60">
        <v>57780.504259999841</v>
      </c>
      <c r="D52" s="60">
        <v>6.9999999999999999E-4</v>
      </c>
      <c r="E52">
        <f t="shared" si="0"/>
        <v>7082.9315579343247</v>
      </c>
      <c r="F52">
        <f t="shared" si="1"/>
        <v>7083</v>
      </c>
      <c r="G52">
        <f t="shared" si="4"/>
        <v>-3.1627860153093934E-2</v>
      </c>
      <c r="K52">
        <f t="shared" si="5"/>
        <v>-3.1627860153093934E-2</v>
      </c>
      <c r="O52">
        <f t="shared" ca="1" si="2"/>
        <v>-3.2563818374351489E-2</v>
      </c>
      <c r="Q52" s="2">
        <f t="shared" si="3"/>
        <v>42762.004259999841</v>
      </c>
    </row>
    <row r="53" spans="1:17">
      <c r="A53" s="58" t="s">
        <v>85</v>
      </c>
      <c r="B53" s="59" t="s">
        <v>44</v>
      </c>
      <c r="C53" s="60">
        <v>57781.419819999952</v>
      </c>
      <c r="D53" s="60">
        <v>5.9999999999999995E-4</v>
      </c>
      <c r="E53">
        <f t="shared" si="0"/>
        <v>7084.912811719636</v>
      </c>
      <c r="F53">
        <f t="shared" si="1"/>
        <v>7085</v>
      </c>
      <c r="G53">
        <f t="shared" si="4"/>
        <v>-4.0290700046170969E-2</v>
      </c>
      <c r="K53">
        <f t="shared" si="5"/>
        <v>-4.0290700046170969E-2</v>
      </c>
      <c r="O53">
        <f t="shared" ca="1" si="2"/>
        <v>-3.2583422424923264E-2</v>
      </c>
      <c r="Q53" s="2">
        <f t="shared" si="3"/>
        <v>42762.919819999952</v>
      </c>
    </row>
    <row r="54" spans="1:17">
      <c r="A54" s="57" t="s">
        <v>84</v>
      </c>
      <c r="C54" s="8">
        <v>59184.829599999997</v>
      </c>
      <c r="D54" s="8">
        <v>6.9999999999999999E-4</v>
      </c>
      <c r="E54">
        <f t="shared" si="0"/>
        <v>10121.863900268898</v>
      </c>
      <c r="F54">
        <f t="shared" si="1"/>
        <v>10122</v>
      </c>
      <c r="G54">
        <f t="shared" si="4"/>
        <v>-6.2893239999539219E-2</v>
      </c>
      <c r="K54">
        <f t="shared" si="5"/>
        <v>-6.2893239999539219E-2</v>
      </c>
      <c r="O54">
        <f t="shared" ca="1" si="2"/>
        <v>-6.2352173218173781E-2</v>
      </c>
      <c r="Q54" s="2">
        <f t="shared" si="3"/>
        <v>44166.329599999997</v>
      </c>
    </row>
    <row r="55" spans="1:17">
      <c r="A55" s="57" t="s">
        <v>86</v>
      </c>
      <c r="C55" s="8">
        <v>59583.851999999999</v>
      </c>
      <c r="D55" s="8">
        <v>2E-3</v>
      </c>
      <c r="E55">
        <f t="shared" si="0"/>
        <v>10985.34050511022</v>
      </c>
      <c r="F55">
        <f t="shared" si="1"/>
        <v>10985.5</v>
      </c>
      <c r="G55">
        <f t="shared" si="4"/>
        <v>-7.3704410002392251E-2</v>
      </c>
      <c r="K55">
        <f t="shared" si="5"/>
        <v>-7.3704410002392251E-2</v>
      </c>
      <c r="O55">
        <f t="shared" ca="1" si="2"/>
        <v>-7.0816222052540539E-2</v>
      </c>
      <c r="Q55" s="2">
        <f t="shared" si="3"/>
        <v>44565.351999999999</v>
      </c>
    </row>
    <row r="56" spans="1:17">
      <c r="A56" s="61" t="s">
        <v>87</v>
      </c>
      <c r="B56" s="62" t="s">
        <v>48</v>
      </c>
      <c r="C56" s="63">
        <v>59260.3871</v>
      </c>
      <c r="D56" s="63">
        <v>4.0000000000000002E-4</v>
      </c>
      <c r="E56">
        <f>+(C56-C$7)/C$8</f>
        <v>10285.368840268007</v>
      </c>
      <c r="F56">
        <f t="shared" si="1"/>
        <v>10285.5</v>
      </c>
      <c r="G56">
        <f>+C56-(C$7+F56*C$8)</f>
        <v>-6.0610410000663251E-2</v>
      </c>
      <c r="K56">
        <f>+G56</f>
        <v>-6.0610410000663251E-2</v>
      </c>
      <c r="O56">
        <f ca="1">+C$11+C$12*$F56</f>
        <v>-6.3954804352416947E-2</v>
      </c>
      <c r="Q56" s="2">
        <f>+C56-15018.5</f>
        <v>44241.8871</v>
      </c>
    </row>
    <row r="57" spans="1:17">
      <c r="C57" s="8"/>
      <c r="D57" s="8"/>
    </row>
    <row r="58" spans="1:17">
      <c r="C58" s="8"/>
      <c r="D58" s="8"/>
    </row>
    <row r="59" spans="1:17">
      <c r="C59" s="8"/>
      <c r="D59" s="8"/>
    </row>
    <row r="60" spans="1:17">
      <c r="C60" s="8"/>
      <c r="D60" s="8"/>
    </row>
    <row r="61" spans="1:17">
      <c r="C61" s="8"/>
      <c r="D61" s="8"/>
    </row>
    <row r="62" spans="1:17">
      <c r="C62" s="8"/>
      <c r="D62" s="8"/>
    </row>
    <row r="63" spans="1:17">
      <c r="C63" s="8"/>
      <c r="D63" s="8"/>
    </row>
    <row r="64" spans="1:17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51:D54 A55" name="Range1"/>
  </protectedRanges>
  <phoneticPr fontId="8" type="noConversion"/>
  <hyperlinks>
    <hyperlink ref="H301" r:id="rId1" display="http://vsolj.cetus-net.org/bulletin.html"/>
    <hyperlink ref="H294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workbookViewId="0">
      <selection activeCell="A11" sqref="A11:IV448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8" t="s">
        <v>51</v>
      </c>
      <c r="I1" s="39" t="s">
        <v>52</v>
      </c>
      <c r="J1" s="40" t="s">
        <v>53</v>
      </c>
    </row>
    <row r="2" spans="1:16">
      <c r="I2" s="41" t="s">
        <v>54</v>
      </c>
      <c r="J2" s="42" t="s">
        <v>55</v>
      </c>
    </row>
    <row r="3" spans="1:16">
      <c r="A3" s="43" t="s">
        <v>56</v>
      </c>
      <c r="I3" s="41" t="s">
        <v>57</v>
      </c>
      <c r="J3" s="42" t="s">
        <v>58</v>
      </c>
    </row>
    <row r="4" spans="1:16">
      <c r="I4" s="41" t="s">
        <v>59</v>
      </c>
      <c r="J4" s="42" t="s">
        <v>58</v>
      </c>
    </row>
    <row r="5" spans="1:16" ht="13.5" thickBot="1">
      <c r="I5" s="44" t="s">
        <v>60</v>
      </c>
      <c r="J5" s="45" t="s">
        <v>61</v>
      </c>
    </row>
    <row r="10" spans="1:16" ht="13.5" thickBot="1"/>
    <row r="11" spans="1:16" ht="12.75" customHeight="1" thickBot="1">
      <c r="A11" s="8" t="str">
        <f>P11</f>
        <v>BAVM 228 </v>
      </c>
      <c r="B11" s="3" t="str">
        <f>IF(H11=INT(H11),"I","II")</f>
        <v>I</v>
      </c>
      <c r="C11" s="8">
        <f>1*G11</f>
        <v>54910.359700000001</v>
      </c>
      <c r="D11" s="10" t="str">
        <f>VLOOKUP(F11,I$1:J$5,2,FALSE)</f>
        <v>vis</v>
      </c>
      <c r="E11" s="46">
        <f>VLOOKUP(C11,Active!C$21:E$973,3,FALSE)</f>
        <v>871.99532961120622</v>
      </c>
      <c r="F11" s="3" t="s">
        <v>60</v>
      </c>
      <c r="G11" s="10" t="str">
        <f>MID(I11,3,LEN(I11)-3)</f>
        <v>54910.3597</v>
      </c>
      <c r="H11" s="8">
        <f>1*K11</f>
        <v>872</v>
      </c>
      <c r="I11" s="47" t="s">
        <v>62</v>
      </c>
      <c r="J11" s="48" t="s">
        <v>63</v>
      </c>
      <c r="K11" s="47">
        <v>872</v>
      </c>
      <c r="L11" s="47" t="s">
        <v>64</v>
      </c>
      <c r="M11" s="48" t="s">
        <v>65</v>
      </c>
      <c r="N11" s="48" t="s">
        <v>66</v>
      </c>
      <c r="O11" s="49" t="s">
        <v>67</v>
      </c>
      <c r="P11" s="50" t="s">
        <v>68</v>
      </c>
    </row>
    <row r="12" spans="1:16" ht="12.75" customHeight="1" thickBot="1">
      <c r="A12" s="8" t="str">
        <f>P12</f>
        <v>BAVM 231 </v>
      </c>
      <c r="B12" s="3" t="str">
        <f>IF(H12=INT(H12),"I","II")</f>
        <v>I</v>
      </c>
      <c r="C12" s="8">
        <f>1*G12</f>
        <v>56001.393799999998</v>
      </c>
      <c r="D12" s="10" t="str">
        <f>VLOOKUP(F12,I$1:J$5,2,FALSE)</f>
        <v>vis</v>
      </c>
      <c r="E12" s="46">
        <f>VLOOKUP(C12,Active!C$21:E$973,3,FALSE)</f>
        <v>3232.9716067177037</v>
      </c>
      <c r="F12" s="3" t="s">
        <v>60</v>
      </c>
      <c r="G12" s="10" t="str">
        <f>MID(I12,3,LEN(I12)-3)</f>
        <v>56001.3938</v>
      </c>
      <c r="H12" s="8">
        <f>1*K12</f>
        <v>3233</v>
      </c>
      <c r="I12" s="47" t="s">
        <v>69</v>
      </c>
      <c r="J12" s="48" t="s">
        <v>70</v>
      </c>
      <c r="K12" s="47">
        <v>3233</v>
      </c>
      <c r="L12" s="47" t="s">
        <v>71</v>
      </c>
      <c r="M12" s="48" t="s">
        <v>65</v>
      </c>
      <c r="N12" s="48" t="s">
        <v>72</v>
      </c>
      <c r="O12" s="49" t="s">
        <v>73</v>
      </c>
      <c r="P12" s="50" t="s">
        <v>74</v>
      </c>
    </row>
    <row r="13" spans="1:16" ht="12.75" customHeight="1" thickBot="1">
      <c r="A13" s="8" t="str">
        <f>P13</f>
        <v>BAVM 231 </v>
      </c>
      <c r="B13" s="3" t="str">
        <f>IF(H13=INT(H13),"I","II")</f>
        <v>I</v>
      </c>
      <c r="C13" s="8">
        <f>1*G13</f>
        <v>56002.328800000003</v>
      </c>
      <c r="D13" s="10" t="str">
        <f>VLOOKUP(F13,I$1:J$5,2,FALSE)</f>
        <v>vis</v>
      </c>
      <c r="E13" s="46">
        <f>VLOOKUP(C13,Active!C$21:E$973,3,FALSE)</f>
        <v>3234.9949282794282</v>
      </c>
      <c r="F13" s="3" t="s">
        <v>60</v>
      </c>
      <c r="G13" s="10" t="str">
        <f>MID(I13,3,LEN(I13)-3)</f>
        <v>56002.3288</v>
      </c>
      <c r="H13" s="8">
        <f>1*K13</f>
        <v>3235</v>
      </c>
      <c r="I13" s="47" t="s">
        <v>75</v>
      </c>
      <c r="J13" s="48" t="s">
        <v>76</v>
      </c>
      <c r="K13" s="47">
        <v>3235</v>
      </c>
      <c r="L13" s="47" t="s">
        <v>77</v>
      </c>
      <c r="M13" s="48" t="s">
        <v>65</v>
      </c>
      <c r="N13" s="48" t="s">
        <v>60</v>
      </c>
      <c r="O13" s="49" t="s">
        <v>73</v>
      </c>
      <c r="P13" s="50" t="s">
        <v>74</v>
      </c>
    </row>
    <row r="14" spans="1:16" ht="12.75" customHeight="1" thickBot="1">
      <c r="A14" s="8" t="str">
        <f>P14</f>
        <v>IBVS 6131 </v>
      </c>
      <c r="B14" s="3" t="str">
        <f>IF(H14=INT(H14),"I","II")</f>
        <v>I</v>
      </c>
      <c r="C14" s="8">
        <f>1*G14</f>
        <v>56693.636500000001</v>
      </c>
      <c r="D14" s="10" t="str">
        <f>VLOOKUP(F14,I$1:J$5,2,FALSE)</f>
        <v>vis</v>
      </c>
      <c r="E14" s="46">
        <f>VLOOKUP(C14,Active!C$21:E$973,3,FALSE)</f>
        <v>4730.9711584275547</v>
      </c>
      <c r="F14" s="3" t="s">
        <v>60</v>
      </c>
      <c r="G14" s="10" t="str">
        <f>MID(I14,3,LEN(I14)-3)</f>
        <v>56693.6365</v>
      </c>
      <c r="H14" s="8">
        <f>1*K14</f>
        <v>4731</v>
      </c>
      <c r="I14" s="47" t="s">
        <v>78</v>
      </c>
      <c r="J14" s="48" t="s">
        <v>79</v>
      </c>
      <c r="K14" s="47">
        <v>4731</v>
      </c>
      <c r="L14" s="47" t="s">
        <v>80</v>
      </c>
      <c r="M14" s="48" t="s">
        <v>65</v>
      </c>
      <c r="N14" s="48" t="s">
        <v>52</v>
      </c>
      <c r="O14" s="49" t="s">
        <v>81</v>
      </c>
      <c r="P14" s="50" t="s">
        <v>82</v>
      </c>
    </row>
    <row r="15" spans="1:16">
      <c r="B15" s="3"/>
      <c r="E15" s="46"/>
      <c r="F15" s="3"/>
    </row>
    <row r="16" spans="1:16">
      <c r="B16" s="3"/>
      <c r="E16" s="46"/>
      <c r="F16" s="3"/>
    </row>
    <row r="17" spans="2:6">
      <c r="B17" s="3"/>
      <c r="E17" s="46"/>
      <c r="F17" s="3"/>
    </row>
    <row r="18" spans="2:6">
      <c r="B18" s="3"/>
      <c r="E18" s="46"/>
      <c r="F18" s="3"/>
    </row>
    <row r="19" spans="2:6">
      <c r="B19" s="3"/>
      <c r="E19" s="46"/>
      <c r="F19" s="3"/>
    </row>
    <row r="20" spans="2:6">
      <c r="B20" s="3"/>
      <c r="E20" s="46"/>
      <c r="F20" s="3"/>
    </row>
    <row r="21" spans="2:6">
      <c r="B21" s="3"/>
      <c r="E21" s="46"/>
      <c r="F21" s="3"/>
    </row>
    <row r="22" spans="2:6">
      <c r="B22" s="3"/>
      <c r="E22" s="46"/>
      <c r="F22" s="3"/>
    </row>
    <row r="23" spans="2:6">
      <c r="B23" s="3"/>
      <c r="E23" s="46"/>
      <c r="F23" s="3"/>
    </row>
    <row r="24" spans="2:6">
      <c r="B24" s="3"/>
      <c r="E24" s="46"/>
      <c r="F24" s="3"/>
    </row>
    <row r="25" spans="2:6">
      <c r="B25" s="3"/>
      <c r="E25" s="46"/>
      <c r="F25" s="3"/>
    </row>
    <row r="26" spans="2:6">
      <c r="B26" s="3"/>
      <c r="E26" s="46"/>
      <c r="F26" s="3"/>
    </row>
    <row r="27" spans="2:6">
      <c r="B27" s="3"/>
      <c r="E27" s="46"/>
      <c r="F27" s="3"/>
    </row>
    <row r="28" spans="2:6">
      <c r="B28" s="3"/>
      <c r="E28" s="46"/>
      <c r="F28" s="3"/>
    </row>
    <row r="29" spans="2:6">
      <c r="B29" s="3"/>
      <c r="E29" s="46"/>
      <c r="F29" s="3"/>
    </row>
    <row r="30" spans="2:6">
      <c r="B30" s="3"/>
      <c r="E30" s="46"/>
      <c r="F30" s="3"/>
    </row>
    <row r="31" spans="2:6">
      <c r="B31" s="3"/>
      <c r="E31" s="46"/>
      <c r="F31" s="3"/>
    </row>
    <row r="32" spans="2:6">
      <c r="B32" s="3"/>
      <c r="E32" s="46"/>
      <c r="F32" s="3"/>
    </row>
    <row r="33" spans="2:6">
      <c r="B33" s="3"/>
      <c r="E33" s="46"/>
      <c r="F33" s="3"/>
    </row>
    <row r="34" spans="2:6">
      <c r="B34" s="3"/>
      <c r="E34" s="46"/>
      <c r="F34" s="3"/>
    </row>
    <row r="35" spans="2:6">
      <c r="B35" s="3"/>
      <c r="E35" s="46"/>
      <c r="F35" s="3"/>
    </row>
    <row r="36" spans="2:6">
      <c r="B36" s="3"/>
      <c r="E36" s="46"/>
      <c r="F36" s="3"/>
    </row>
    <row r="37" spans="2:6">
      <c r="B37" s="3"/>
      <c r="E37" s="46"/>
      <c r="F37" s="3"/>
    </row>
    <row r="38" spans="2:6">
      <c r="B38" s="3"/>
      <c r="E38" s="46"/>
      <c r="F38" s="3"/>
    </row>
    <row r="39" spans="2:6">
      <c r="B39" s="3"/>
      <c r="E39" s="46"/>
      <c r="F39" s="3"/>
    </row>
    <row r="40" spans="2:6">
      <c r="B40" s="3"/>
      <c r="E40" s="46"/>
      <c r="F40" s="3"/>
    </row>
    <row r="41" spans="2:6">
      <c r="B41" s="3"/>
      <c r="E41" s="46"/>
      <c r="F41" s="3"/>
    </row>
    <row r="42" spans="2:6">
      <c r="B42" s="3"/>
      <c r="E42" s="46"/>
      <c r="F42" s="3"/>
    </row>
    <row r="43" spans="2:6">
      <c r="B43" s="3"/>
      <c r="E43" s="46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</sheetData>
  <phoneticPr fontId="8" type="noConversion"/>
  <hyperlinks>
    <hyperlink ref="P11" r:id="rId1" display="http://www.bav-astro.de/sfs/BAVM_link.php?BAVMnr=228"/>
    <hyperlink ref="P12" r:id="rId2" display="http://www.bav-astro.de/sfs/BAVM_link.php?BAVMnr=231"/>
    <hyperlink ref="P13" r:id="rId3" display="http://www.bav-astro.de/sfs/BAVM_link.php?BAVMnr=231"/>
    <hyperlink ref="P14" r:id="rId4" display="http://www.konkoly.hu/cgi-bin/IBVS?61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2023-01-14T05:06:44Z</dcterms:modified>
</cp:coreProperties>
</file>