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2FEC182-FF32-4E50-8D28-E0601CEDC861}" xr6:coauthVersionLast="47" xr6:coauthVersionMax="47" xr10:uidLastSave="{00000000-0000-0000-0000-000000000000}"/>
  <bookViews>
    <workbookView xWindow="13485" yWindow="73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J66" i="1" s="1"/>
  <c r="Q66" i="1"/>
  <c r="Q65" i="1"/>
  <c r="Q64" i="1"/>
  <c r="D9" i="1"/>
  <c r="C9" i="1"/>
  <c r="Q57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G54" i="2"/>
  <c r="C54" i="2"/>
  <c r="G39" i="2"/>
  <c r="C39" i="2"/>
  <c r="G38" i="2"/>
  <c r="C38" i="2"/>
  <c r="G37" i="2"/>
  <c r="C37" i="2"/>
  <c r="G36" i="2"/>
  <c r="C36" i="2"/>
  <c r="G35" i="2"/>
  <c r="C35" i="2"/>
  <c r="G34" i="2"/>
  <c r="C34" i="2"/>
  <c r="G53" i="2"/>
  <c r="C53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11" i="2"/>
  <c r="C11" i="2"/>
  <c r="G42" i="2"/>
  <c r="C42" i="2"/>
  <c r="G41" i="2"/>
  <c r="C41" i="2"/>
  <c r="G40" i="2"/>
  <c r="C40" i="2"/>
  <c r="H54" i="2"/>
  <c r="D54" i="2"/>
  <c r="B54" i="2"/>
  <c r="A54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53" i="2"/>
  <c r="B53" i="2"/>
  <c r="D53" i="2"/>
  <c r="A53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11" i="2"/>
  <c r="D11" i="2"/>
  <c r="B11" i="2"/>
  <c r="A11" i="2"/>
  <c r="H42" i="2"/>
  <c r="B42" i="2"/>
  <c r="D42" i="2"/>
  <c r="A42" i="2"/>
  <c r="H41" i="2"/>
  <c r="D41" i="2"/>
  <c r="B41" i="2"/>
  <c r="A41" i="2"/>
  <c r="H40" i="2"/>
  <c r="B40" i="2"/>
  <c r="D40" i="2"/>
  <c r="A40" i="2"/>
  <c r="Q63" i="1"/>
  <c r="Q61" i="1"/>
  <c r="Q62" i="1"/>
  <c r="F16" i="1"/>
  <c r="F17" i="1" s="1"/>
  <c r="C17" i="1"/>
  <c r="Q60" i="1"/>
  <c r="Q59" i="1"/>
  <c r="Q58" i="1"/>
  <c r="Q56" i="1"/>
  <c r="Q55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C7" i="1"/>
  <c r="E65" i="1"/>
  <c r="F65" i="1"/>
  <c r="C8" i="1"/>
  <c r="E26" i="1"/>
  <c r="F26" i="1"/>
  <c r="Q24" i="1"/>
  <c r="E44" i="2"/>
  <c r="E14" i="2"/>
  <c r="E25" i="2"/>
  <c r="E62" i="1"/>
  <c r="F62" i="1"/>
  <c r="E42" i="1"/>
  <c r="F42" i="1"/>
  <c r="E46" i="1"/>
  <c r="E32" i="1"/>
  <c r="F32" i="1"/>
  <c r="G26" i="1"/>
  <c r="H26" i="1"/>
  <c r="E23" i="1"/>
  <c r="F23" i="1"/>
  <c r="E54" i="1"/>
  <c r="E59" i="1"/>
  <c r="F59" i="1"/>
  <c r="G41" i="1"/>
  <c r="I41" i="1"/>
  <c r="E37" i="1"/>
  <c r="F37" i="1"/>
  <c r="E39" i="1"/>
  <c r="F39" i="1"/>
  <c r="E29" i="1"/>
  <c r="F29" i="1"/>
  <c r="E50" i="1"/>
  <c r="F50" i="1"/>
  <c r="G50" i="1"/>
  <c r="J50" i="1"/>
  <c r="E55" i="1"/>
  <c r="F55" i="1"/>
  <c r="G55" i="1"/>
  <c r="J55" i="1"/>
  <c r="E48" i="1"/>
  <c r="F48" i="1"/>
  <c r="G48" i="1"/>
  <c r="I48" i="1"/>
  <c r="E34" i="1"/>
  <c r="F34" i="1"/>
  <c r="G34" i="1"/>
  <c r="H34" i="1"/>
  <c r="E61" i="1"/>
  <c r="F61" i="1"/>
  <c r="G61" i="1"/>
  <c r="J61" i="1"/>
  <c r="E41" i="1"/>
  <c r="F41" i="1"/>
  <c r="E45" i="1"/>
  <c r="F45" i="1"/>
  <c r="G45" i="1"/>
  <c r="I45" i="1"/>
  <c r="E31" i="1"/>
  <c r="F31" i="1"/>
  <c r="G31" i="1"/>
  <c r="H31" i="1"/>
  <c r="E22" i="1"/>
  <c r="F22" i="1"/>
  <c r="G22" i="1"/>
  <c r="H22" i="1"/>
  <c r="E52" i="1"/>
  <c r="F52" i="1"/>
  <c r="G52" i="1"/>
  <c r="I52" i="1"/>
  <c r="E58" i="1"/>
  <c r="F58" i="1"/>
  <c r="G58" i="1"/>
  <c r="J58" i="1"/>
  <c r="G38" i="1"/>
  <c r="I38" i="1"/>
  <c r="E36" i="1"/>
  <c r="F36" i="1"/>
  <c r="G36" i="1"/>
  <c r="I36" i="1"/>
  <c r="E43" i="1"/>
  <c r="F43" i="1"/>
  <c r="G43" i="1"/>
  <c r="I43" i="1"/>
  <c r="E64" i="1"/>
  <c r="F64" i="1"/>
  <c r="G64" i="1"/>
  <c r="J64" i="1"/>
  <c r="E28" i="1"/>
  <c r="E35" i="1"/>
  <c r="F35" i="1"/>
  <c r="G35" i="1"/>
  <c r="I35" i="1"/>
  <c r="E40" i="1"/>
  <c r="F40" i="1"/>
  <c r="G40" i="1"/>
  <c r="I40" i="1"/>
  <c r="E63" i="1"/>
  <c r="F63" i="1"/>
  <c r="G63" i="1"/>
  <c r="J63" i="1"/>
  <c r="E24" i="1"/>
  <c r="F24" i="1"/>
  <c r="G24" i="1"/>
  <c r="H24" i="1"/>
  <c r="E47" i="1"/>
  <c r="F47" i="1"/>
  <c r="G47" i="1"/>
  <c r="I47" i="1"/>
  <c r="G53" i="1"/>
  <c r="I53" i="1"/>
  <c r="E33" i="1"/>
  <c r="F33" i="1"/>
  <c r="G33" i="1"/>
  <c r="H33" i="1"/>
  <c r="E25" i="1"/>
  <c r="F25" i="1"/>
  <c r="G25" i="1"/>
  <c r="H25" i="1"/>
  <c r="G65" i="1"/>
  <c r="J65" i="1"/>
  <c r="G62" i="1"/>
  <c r="K62" i="1"/>
  <c r="E60" i="1"/>
  <c r="F60" i="1"/>
  <c r="G60" i="1"/>
  <c r="K60" i="1"/>
  <c r="G42" i="1"/>
  <c r="I42" i="1"/>
  <c r="E38" i="1"/>
  <c r="F38" i="1"/>
  <c r="E44" i="1"/>
  <c r="F44" i="1"/>
  <c r="G44" i="1"/>
  <c r="I44" i="1"/>
  <c r="G32" i="1"/>
  <c r="H32" i="1"/>
  <c r="E30" i="1"/>
  <c r="F30" i="1"/>
  <c r="G30" i="1"/>
  <c r="H30" i="1"/>
  <c r="G23" i="1"/>
  <c r="H23" i="1"/>
  <c r="E21" i="1"/>
  <c r="F21" i="1"/>
  <c r="G21" i="1"/>
  <c r="H21" i="1"/>
  <c r="E51" i="1"/>
  <c r="F51" i="1"/>
  <c r="G51" i="1"/>
  <c r="J51" i="1"/>
  <c r="G59" i="1"/>
  <c r="J59" i="1"/>
  <c r="E56" i="1"/>
  <c r="F56" i="1"/>
  <c r="G56" i="1"/>
  <c r="G37" i="1"/>
  <c r="I37" i="1"/>
  <c r="E49" i="1"/>
  <c r="F49" i="1"/>
  <c r="G49" i="1"/>
  <c r="I49" i="1"/>
  <c r="G39" i="1"/>
  <c r="I39" i="1"/>
  <c r="E53" i="1"/>
  <c r="F53" i="1"/>
  <c r="E57" i="1"/>
  <c r="F57" i="1"/>
  <c r="G57" i="1"/>
  <c r="K57" i="1"/>
  <c r="G29" i="1"/>
  <c r="H29" i="1"/>
  <c r="E27" i="1"/>
  <c r="J56" i="1"/>
  <c r="E26" i="2"/>
  <c r="E42" i="2"/>
  <c r="E32" i="2"/>
  <c r="E11" i="2"/>
  <c r="E54" i="2"/>
  <c r="E50" i="2"/>
  <c r="E37" i="2"/>
  <c r="E47" i="2"/>
  <c r="E46" i="2"/>
  <c r="F28" i="1"/>
  <c r="G28" i="1"/>
  <c r="H28" i="1"/>
  <c r="F46" i="1"/>
  <c r="G46" i="1"/>
  <c r="I46" i="1"/>
  <c r="E23" i="2"/>
  <c r="E15" i="2"/>
  <c r="E24" i="2"/>
  <c r="E40" i="2"/>
  <c r="E33" i="2"/>
  <c r="E43" i="2"/>
  <c r="E31" i="2"/>
  <c r="F54" i="1"/>
  <c r="G54" i="1"/>
  <c r="I54" i="1"/>
  <c r="E35" i="2"/>
  <c r="E41" i="2"/>
  <c r="E38" i="2"/>
  <c r="E28" i="2"/>
  <c r="E36" i="2"/>
  <c r="E30" i="2"/>
  <c r="E39" i="2"/>
  <c r="E53" i="2"/>
  <c r="E22" i="2"/>
  <c r="E27" i="2"/>
  <c r="E34" i="2"/>
  <c r="E18" i="2"/>
  <c r="E17" i="2"/>
  <c r="E21" i="2"/>
  <c r="F27" i="1"/>
  <c r="G27" i="1"/>
  <c r="H27" i="1"/>
  <c r="E45" i="2"/>
  <c r="E20" i="2"/>
  <c r="E29" i="2"/>
  <c r="E13" i="2"/>
  <c r="E12" i="2"/>
  <c r="E16" i="2"/>
  <c r="E51" i="2"/>
  <c r="E19" i="2"/>
  <c r="E49" i="2"/>
  <c r="E48" i="2"/>
  <c r="E52" i="2"/>
  <c r="C12" i="1"/>
  <c r="C11" i="1"/>
  <c r="O66" i="1" l="1"/>
  <c r="O62" i="1"/>
  <c r="O59" i="1"/>
  <c r="O56" i="1"/>
  <c r="O47" i="1"/>
  <c r="O50" i="1"/>
  <c r="O64" i="1"/>
  <c r="O48" i="1"/>
  <c r="O63" i="1"/>
  <c r="O46" i="1"/>
  <c r="O65" i="1"/>
  <c r="O58" i="1"/>
  <c r="O49" i="1"/>
  <c r="O53" i="1"/>
  <c r="C15" i="1"/>
  <c r="O55" i="1"/>
  <c r="O57" i="1"/>
  <c r="O54" i="1"/>
  <c r="O51" i="1"/>
  <c r="O61" i="1"/>
  <c r="O60" i="1"/>
  <c r="O5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<sst xmlns="http://schemas.openxmlformats.org/spreadsheetml/2006/main" count="519" uniqueCount="291">
  <si>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</si>
  <si>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</si>
  <si>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</si>
  <si>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</si>
  <si>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</si>
  <si>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</si>
  <si>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</si>
  <si>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</si>
  <si>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</si>
  <si>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</si>
  <si>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</si>
  <si>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</si>
  <si>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</si>
  <si>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</si>
  <si>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</si>
  <si>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</si>
  <si>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</si>
  <si>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</si>
  <si>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</si>
  <si>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</si>
  <si>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</si>
  <si>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</si>
  <si>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</si>
  <si>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</si>
  <si>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</si>
  <si>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</si>
  <si>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</si>
  <si>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</si>
  <si>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</si>
  <si>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</si>
  <si>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Bull...31</t>
  </si>
  <si>
    <t>B</t>
  </si>
  <si>
    <t>v</t>
  </si>
  <si>
    <t>BRNO 14</t>
  </si>
  <si>
    <t>K</t>
  </si>
  <si>
    <t>BRNO 17</t>
  </si>
  <si>
    <t>:</t>
  </si>
  <si>
    <t>Locher K</t>
  </si>
  <si>
    <t>BBSAG Bull.9</t>
  </si>
  <si>
    <t>BBSAG Bull.</t>
  </si>
  <si>
    <t>BRNO 23</t>
  </si>
  <si>
    <t>BRNO 27</t>
  </si>
  <si>
    <t>Paschke A</t>
  </si>
  <si>
    <t>BBSAG Bull.81</t>
  </si>
  <si>
    <t>Peter H</t>
  </si>
  <si>
    <t>BBSAG Bull.92</t>
  </si>
  <si>
    <t>Blaettler E</t>
  </si>
  <si>
    <t>BBSAG Bull.93</t>
  </si>
  <si>
    <t>BBSAG Bull.96</t>
  </si>
  <si>
    <t>BBSAG Bull.98</t>
  </si>
  <si>
    <t>BBSAG Bull.99</t>
  </si>
  <si>
    <t>phe  V</t>
  </si>
  <si>
    <t>BAV-M 62</t>
  </si>
  <si>
    <t>phe  B</t>
  </si>
  <si>
    <t>BBSAG Bull.104</t>
  </si>
  <si>
    <t>BBSAG Bull.108</t>
  </si>
  <si>
    <t>BBSAG Bull.107</t>
  </si>
  <si>
    <t>IBVS 5017</t>
  </si>
  <si>
    <t>EA/SD:</t>
  </si>
  <si>
    <t>IBVS 5296</t>
  </si>
  <si>
    <t># of data points:</t>
  </si>
  <si>
    <t>IBVS 5731</t>
  </si>
  <si>
    <t>FN Her / gsc 0967-1531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</si>
  <si>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</si>
  <si>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</si>
  <si>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</si>
  <si>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</si>
  <si>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</si>
  <si>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</si>
  <si>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</si>
  <si>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</si>
  <si>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IBVS 5945</t>
  </si>
  <si>
    <t>Add cycle</t>
  </si>
  <si>
    <t>Old Cycle</t>
  </si>
  <si>
    <t>IBVS 5959</t>
  </si>
  <si>
    <t>IBVS 5992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</si>
  <si>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</si>
  <si>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</si>
  <si>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</si>
  <si>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</si>
  <si>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</si>
  <si>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</si>
  <si>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</si>
  <si>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</si>
  <si>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</si>
  <si>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</si>
  <si>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</si>
  <si>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</si>
  <si>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</si>
  <si>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 Koch &amp; Koch </t>
  </si>
  <si>
    <t> AJ 67.462 </t>
  </si>
  <si>
    <t>2426094.404 </t>
  </si>
  <si>
    <t> 27.04.1930 21:41 </t>
  </si>
  <si>
    <t> 0.017 </t>
  </si>
  <si>
    <t>P </t>
  </si>
  <si>
    <t> C.Hoffmeister </t>
  </si>
  <si>
    <t> AN 255.409 </t>
  </si>
  <si>
    <t>2426207.363 </t>
  </si>
  <si>
    <t> 18.08.1930 20:42 </t>
  </si>
  <si>
    <t> -0.057 </t>
  </si>
  <si>
    <t>2427539.510 </t>
  </si>
  <si>
    <t> 12.04.1934 00:14 </t>
  </si>
  <si>
    <t> -0.084 </t>
  </si>
  <si>
    <t>2428309.294 </t>
  </si>
  <si>
    <t> 20.05.1936 19:03 </t>
  </si>
  <si>
    <t> 0.000 </t>
  </si>
  <si>
    <t>V </t>
  </si>
  <si>
    <t> S.Piotrowski </t>
  </si>
  <si>
    <t> AAC 3.67 </t>
  </si>
  <si>
    <t>2428694.204 </t>
  </si>
  <si>
    <t> 09.06.1937 16:53 </t>
  </si>
  <si>
    <t> 0.060 </t>
  </si>
  <si>
    <t> A.Soloviev </t>
  </si>
  <si>
    <t> PZ 5.198 </t>
  </si>
  <si>
    <t>2428780.242 </t>
  </si>
  <si>
    <t> 03.09.1937 17:48 </t>
  </si>
  <si>
    <t> -0.023 </t>
  </si>
  <si>
    <t>2429111.320 </t>
  </si>
  <si>
    <t> 31.07.1938 19:40 </t>
  </si>
  <si>
    <t> 0.031 </t>
  </si>
  <si>
    <t> CTAD 43 </t>
  </si>
  <si>
    <t>2429415.402 </t>
  </si>
  <si>
    <t> 31.05.1939 21:38 </t>
  </si>
  <si>
    <t> PZ 8.46 </t>
  </si>
  <si>
    <t>2431272.371 </t>
  </si>
  <si>
    <t> 30.06.1944 20:54 </t>
  </si>
  <si>
    <t> -0.000 </t>
  </si>
  <si>
    <t> W.Zessewitsch </t>
  </si>
  <si>
    <t> IODE 4.2.101 </t>
  </si>
  <si>
    <t>2434544.951 </t>
  </si>
  <si>
    <t> 16.06.1953 10:49 </t>
  </si>
  <si>
    <t> 0.008 </t>
  </si>
  <si>
    <t>2435979.495 </t>
  </si>
  <si>
    <t> 20.05.1957 23:52 </t>
  </si>
  <si>
    <t> 0.110 </t>
  </si>
  <si>
    <t> H.Huth </t>
  </si>
  <si>
    <t> MVS 2.124 </t>
  </si>
  <si>
    <t>2436318.578 </t>
  </si>
  <si>
    <t> 25.04.1958 01:52 </t>
  </si>
  <si>
    <t> 0.094 </t>
  </si>
  <si>
    <t>2436808.363 </t>
  </si>
  <si>
    <t> 27.08.1959 20:42 </t>
  </si>
  <si>
    <t> 0.070 </t>
  </si>
  <si>
    <t>2437104.449 </t>
  </si>
  <si>
    <t> 18.06.1960 22:46 </t>
  </si>
  <si>
    <t> 0.117 </t>
  </si>
  <si>
    <t>2441165.410 </t>
  </si>
  <si>
    <t> 01.08.1971 21:50 </t>
  </si>
  <si>
    <t> -0.033 </t>
  </si>
  <si>
    <t> R.Diethelm </t>
  </si>
  <si>
    <t> ORI 126 </t>
  </si>
  <si>
    <t>2441308.232 </t>
  </si>
  <si>
    <t> 22.12.1971 17:34 </t>
  </si>
  <si>
    <t> 0.152 </t>
  </si>
  <si>
    <t> J.Silhan </t>
  </si>
  <si>
    <t> BRNO 14 </t>
  </si>
  <si>
    <t>2441515.425 </t>
  </si>
  <si>
    <t> 16.07.1972 22:12 </t>
  </si>
  <si>
    <t> 0.118 </t>
  </si>
  <si>
    <t> A.Pliska </t>
  </si>
  <si>
    <t> BRNO 17 </t>
  </si>
  <si>
    <t>2441811.444 </t>
  </si>
  <si>
    <t> 08.05.1973 22:39 </t>
  </si>
  <si>
    <t> 0.099 </t>
  </si>
  <si>
    <t>2441819.431 </t>
  </si>
  <si>
    <t> 16.05.1973 22:20 </t>
  </si>
  <si>
    <t> 0.012 </t>
  </si>
  <si>
    <t> K.Locher </t>
  </si>
  <si>
    <t> BBS 9 </t>
  </si>
  <si>
    <t>2442621.395 </t>
  </si>
  <si>
    <t> 27.07.1975 21:28 </t>
  </si>
  <si>
    <t> -0.020 </t>
  </si>
  <si>
    <t> BBS 23 </t>
  </si>
  <si>
    <t>2444085.456 </t>
  </si>
  <si>
    <t> 30.07.1979 22:56 </t>
  </si>
  <si>
    <t> -0.004 </t>
  </si>
  <si>
    <t> D.Svelova </t>
  </si>
  <si>
    <t> BRNO 23 </t>
  </si>
  <si>
    <t>2446249.379 </t>
  </si>
  <si>
    <t> 02.07.1985 21:05 </t>
  </si>
  <si>
    <t> 0.146 </t>
  </si>
  <si>
    <t> BRNO 27 </t>
  </si>
  <si>
    <t>2446642.287 </t>
  </si>
  <si>
    <t> 30.07.1986 18:53 </t>
  </si>
  <si>
    <t> 0.130 </t>
  </si>
  <si>
    <t> A.Paschke </t>
  </si>
  <si>
    <t> BBS 81 </t>
  </si>
  <si>
    <t>2447713.468 </t>
  </si>
  <si>
    <t> 05.07.1989 23:13 </t>
  </si>
  <si>
    <t> 0.189 </t>
  </si>
  <si>
    <t> H.Peter </t>
  </si>
  <si>
    <t> BBS 92 </t>
  </si>
  <si>
    <t>2447748.415 </t>
  </si>
  <si>
    <t> 09.08.1989 21:57 </t>
  </si>
  <si>
    <t> 0.150 </t>
  </si>
  <si>
    <t>2447775.309 </t>
  </si>
  <si>
    <t> 05.09.1989 19:24 </t>
  </si>
  <si>
    <t> 0.131 </t>
  </si>
  <si>
    <t> E.Blättler </t>
  </si>
  <si>
    <t> BBS 93 </t>
  </si>
  <si>
    <t>2448114.426 </t>
  </si>
  <si>
    <t> 10.08.1990 22:13 </t>
  </si>
  <si>
    <t> BBS 96 </t>
  </si>
  <si>
    <t>2448480.419 </t>
  </si>
  <si>
    <t> 11.08.1991 22:03 </t>
  </si>
  <si>
    <t> BBS 98 </t>
  </si>
  <si>
    <t>2448507.335 </t>
  </si>
  <si>
    <t> 07.09.1991 20:02 </t>
  </si>
  <si>
    <t> 0.135 </t>
  </si>
  <si>
    <t> BBS 99 </t>
  </si>
  <si>
    <t>2449045.5706 </t>
  </si>
  <si>
    <t> 27.02.1993 01:41 </t>
  </si>
  <si>
    <t> 0.1183 </t>
  </si>
  <si>
    <t>E </t>
  </si>
  <si>
    <t>G</t>
  </si>
  <si>
    <t> F.Agerer </t>
  </si>
  <si>
    <t>BAVM 62 </t>
  </si>
  <si>
    <t>2449045.5716 </t>
  </si>
  <si>
    <t> 27.02.1993 01:43 </t>
  </si>
  <si>
    <t> 0.1193 </t>
  </si>
  <si>
    <t>B;V</t>
  </si>
  <si>
    <t>2449177.448 </t>
  </si>
  <si>
    <t> 08.07.1993 22:45 </t>
  </si>
  <si>
    <t> 0.124 </t>
  </si>
  <si>
    <t> BBS 104 </t>
  </si>
  <si>
    <t>2449543.462 </t>
  </si>
  <si>
    <t> 09.07.1994 23:05 </t>
  </si>
  <si>
    <t> 0.127 </t>
  </si>
  <si>
    <t>?</t>
  </si>
  <si>
    <t> BBS 108 </t>
  </si>
  <si>
    <t>2449605.347 </t>
  </si>
  <si>
    <t> 09.09.1994 20:19 </t>
  </si>
  <si>
    <t> 0.113 </t>
  </si>
  <si>
    <t> BBS 107 </t>
  </si>
  <si>
    <t>2451330.4364 </t>
  </si>
  <si>
    <t> 31.05.1999 22:28 </t>
  </si>
  <si>
    <t> 0.1044 </t>
  </si>
  <si>
    <t>-I</t>
  </si>
  <si>
    <t> W.Kleikamp </t>
  </si>
  <si>
    <t>BAVM 133 </t>
  </si>
  <si>
    <t>2451661.4615 </t>
  </si>
  <si>
    <t> 26.04.2000 23:04 </t>
  </si>
  <si>
    <t>8677</t>
  </si>
  <si>
    <t> 0.1045 </t>
  </si>
  <si>
    <t>o</t>
  </si>
  <si>
    <t> D.Husar </t>
  </si>
  <si>
    <t>BAVM 152 </t>
  </si>
  <si>
    <t>2452423.0783 </t>
  </si>
  <si>
    <t> 28.05.2002 13:52 </t>
  </si>
  <si>
    <t>8960</t>
  </si>
  <si>
    <t> 0.0947 </t>
  </si>
  <si>
    <t> Nakajima </t>
  </si>
  <si>
    <t>VSB 40 </t>
  </si>
  <si>
    <t>2453518.4246 </t>
  </si>
  <si>
    <t> 27.05.2005 22:11 </t>
  </si>
  <si>
    <t>9367</t>
  </si>
  <si>
    <t> 0.0982 </t>
  </si>
  <si>
    <t>C </t>
  </si>
  <si>
    <t>BAVM 178 </t>
  </si>
  <si>
    <t>2454616.4527 </t>
  </si>
  <si>
    <t> 29.05.2008 22:51 </t>
  </si>
  <si>
    <t>9775</t>
  </si>
  <si>
    <t> 0.0922 </t>
  </si>
  <si>
    <t>BAVM 201 </t>
  </si>
  <si>
    <t>2455283.8840 </t>
  </si>
  <si>
    <t> 28.03.2010 09:12 </t>
  </si>
  <si>
    <t>10023</t>
  </si>
  <si>
    <t> 0.0910 </t>
  </si>
  <si>
    <t>IBVS 5945 </t>
  </si>
  <si>
    <t>2455340.4008 </t>
  </si>
  <si>
    <t> 23.05.2010 21:37 </t>
  </si>
  <si>
    <t>10044</t>
  </si>
  <si>
    <t> 0.0914 </t>
  </si>
  <si>
    <t>BAVM 214 </t>
  </si>
  <si>
    <t>2455711.7925 </t>
  </si>
  <si>
    <t> 30.05.2011 07:01 </t>
  </si>
  <si>
    <t>10182</t>
  </si>
  <si>
    <t> 0.0892 </t>
  </si>
  <si>
    <t>IBVS 5992 </t>
  </si>
  <si>
    <t>2456494.9519 </t>
  </si>
  <si>
    <t> 21.07.2013 10:50 </t>
  </si>
  <si>
    <t>10473</t>
  </si>
  <si>
    <t> 0.0919 </t>
  </si>
  <si>
    <t>IBVS 6093 </t>
  </si>
  <si>
    <t>2457178.5314 </t>
  </si>
  <si>
    <t> 05.06.2015 00:45 </t>
  </si>
  <si>
    <t>10727</t>
  </si>
  <si>
    <t>BAVM 241 (=IBVS 6157) </t>
  </si>
  <si>
    <t>BAD?</t>
  </si>
  <si>
    <t>IBVS 6157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</si>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</sst>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Her - O-C Diagr.</a:t>
            </a:r>
          </a:p>
        </c:rich>
      </c:tx>
      <c:layout>
        <c:manualLayout>
          <c:xMode val="edge"/>
          <c:yMode val="edge"/>
          <c:x val="0.382445141065830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6144200626959"/>
          <c:y val="0.14769252958613219"/>
          <c:w val="0.8197492163009404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1.6979999996692641E-2</c:v>
                </c:pt>
                <c:pt idx="1">
                  <c:v>-5.6939999998576241E-2</c:v>
                </c:pt>
                <c:pt idx="2">
                  <c:v>-8.3640000004379544E-2</c:v>
                </c:pt>
                <c:pt idx="3">
                  <c:v>0</c:v>
                </c:pt>
                <c:pt idx="4">
                  <c:v>5.9819999998580897E-2</c:v>
                </c:pt>
                <c:pt idx="5">
                  <c:v>-2.2500000002764864E-2</c:v>
                </c:pt>
                <c:pt idx="6">
                  <c:v>3.0519999996613478E-2</c:v>
                </c:pt>
                <c:pt idx="7">
                  <c:v>1.3999999646330252E-4</c:v>
                </c:pt>
                <c:pt idx="8">
                  <c:v>-2.6000000070780516E-4</c:v>
                </c:pt>
                <c:pt idx="9">
                  <c:v>7.5799999976879917E-3</c:v>
                </c:pt>
                <c:pt idx="10">
                  <c:v>0.11000000000058208</c:v>
                </c:pt>
                <c:pt idx="11">
                  <c:v>9.4239999998535495E-2</c:v>
                </c:pt>
                <c:pt idx="12">
                  <c:v>6.9919999994453974E-2</c:v>
                </c:pt>
                <c:pt idx="13">
                  <c:v>0.11731999999756226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D-4B9F-B4B9-9FDB636830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4">
                  <c:v>-3.3020000002579764E-2</c:v>
                </c:pt>
                <c:pt idx="15">
                  <c:v>0.15219999999681022</c:v>
                </c:pt>
                <c:pt idx="16">
                  <c:v>0.11817999999766471</c:v>
                </c:pt>
                <c:pt idx="17">
                  <c:v>9.8579999998037238E-2</c:v>
                </c:pt>
                <c:pt idx="18">
                  <c:v>1.1799999992945231E-2</c:v>
                </c:pt>
                <c:pt idx="19">
                  <c:v>-1.9680000004882459E-2</c:v>
                </c:pt>
                <c:pt idx="20">
                  <c:v>-4.1200000050594099E-3</c:v>
                </c:pt>
                <c:pt idx="21">
                  <c:v>0.14583999999740627</c:v>
                </c:pt>
                <c:pt idx="22">
                  <c:v>0.12987999999313615</c:v>
                </c:pt>
                <c:pt idx="23">
                  <c:v>0.18939999999565771</c:v>
                </c:pt>
                <c:pt idx="24">
                  <c:v>0.15001999999367399</c:v>
                </c:pt>
                <c:pt idx="25">
                  <c:v>0.13141999999788823</c:v>
                </c:pt>
                <c:pt idx="26">
                  <c:v>0.1496599999954924</c:v>
                </c:pt>
                <c:pt idx="27">
                  <c:v>0.13130000000091968</c:v>
                </c:pt>
                <c:pt idx="28">
                  <c:v>0.13469999999506399</c:v>
                </c:pt>
                <c:pt idx="31">
                  <c:v>0.12395999998989282</c:v>
                </c:pt>
                <c:pt idx="32">
                  <c:v>0.12659999999596039</c:v>
                </c:pt>
                <c:pt idx="33">
                  <c:v>0.11261999999987893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1D-4B9F-B4B9-9FDB636830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0.11829999999463325</c:v>
                </c:pt>
                <c:pt idx="30">
                  <c:v>0.11929999999847496</c:v>
                </c:pt>
                <c:pt idx="34">
                  <c:v>0.10435999999026535</c:v>
                </c:pt>
                <c:pt idx="35">
                  <c:v>0.10447999999450985</c:v>
                </c:pt>
                <c:pt idx="37">
                  <c:v>9.8179999993590172E-2</c:v>
                </c:pt>
                <c:pt idx="38">
                  <c:v>9.2199999999138527E-2</c:v>
                </c:pt>
                <c:pt idx="40">
                  <c:v>9.1359999998530839E-2</c:v>
                </c:pt>
                <c:pt idx="42">
                  <c:v>9.1919999991660006E-2</c:v>
                </c:pt>
                <c:pt idx="43">
                  <c:v>9.1379999990749639E-2</c:v>
                </c:pt>
                <c:pt idx="44">
                  <c:v>7.603999999264488E-2</c:v>
                </c:pt>
                <c:pt idx="45">
                  <c:v>6.2099999995552935E-2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1D-4B9F-B4B9-9FDB636830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6">
                  <c:v>9.4699999994190875E-2</c:v>
                </c:pt>
                <c:pt idx="39">
                  <c:v>9.1019999999844003E-2</c:v>
                </c:pt>
                <c:pt idx="41">
                  <c:v>8.9180000002670567E-2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1D-4B9F-B4B9-9FDB636830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1D-4B9F-B4B9-9FDB636830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1D-4B9F-B4B9-9FDB636830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1D-4B9F-B4B9-9FDB636830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5">
                  <c:v>0.12168811094975962</c:v>
                </c:pt>
                <c:pt idx="26">
                  <c:v>0.12025042748505405</c:v>
                </c:pt>
                <c:pt idx="27">
                  <c:v>0.11869864215807026</c:v>
                </c:pt>
                <c:pt idx="28">
                  <c:v>0.11858454029579203</c:v>
                </c:pt>
                <c:pt idx="29">
                  <c:v>0.11630250305022764</c:v>
                </c:pt>
                <c:pt idx="30">
                  <c:v>0.11630250305022764</c:v>
                </c:pt>
                <c:pt idx="31">
                  <c:v>0.11574340392506437</c:v>
                </c:pt>
                <c:pt idx="32">
                  <c:v>0.11419161859808058</c:v>
                </c:pt>
                <c:pt idx="33">
                  <c:v>0.11392918431484067</c:v>
                </c:pt>
                <c:pt idx="34">
                  <c:v>0.10661525494280678</c:v>
                </c:pt>
                <c:pt idx="35">
                  <c:v>0.10521180203678468</c:v>
                </c:pt>
                <c:pt idx="36">
                  <c:v>0.10198271933431106</c:v>
                </c:pt>
                <c:pt idx="37">
                  <c:v>9.7338773539587517E-2</c:v>
                </c:pt>
                <c:pt idx="38">
                  <c:v>9.2683417558636155E-2</c:v>
                </c:pt>
                <c:pt idx="39">
                  <c:v>8.9853691374136305E-2</c:v>
                </c:pt>
                <c:pt idx="40">
                  <c:v>8.9614077463352038E-2</c:v>
                </c:pt>
                <c:pt idx="41">
                  <c:v>8.8039471763912608E-2</c:v>
                </c:pt>
                <c:pt idx="42">
                  <c:v>8.4719107571616409E-2</c:v>
                </c:pt>
                <c:pt idx="43">
                  <c:v>8.1820920269749631E-2</c:v>
                </c:pt>
                <c:pt idx="44">
                  <c:v>7.8751580174465513E-2</c:v>
                </c:pt>
                <c:pt idx="45">
                  <c:v>7.2544438866530364E-2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1D-4B9F-B4B9-9FDB636830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1D-4B9F-B4B9-9FDB6368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6808"/>
        <c:axId val="1"/>
      </c:scatterChart>
      <c:valAx>
        <c:axId val="26008680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761755485893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41379310344829"/>
          <c:y val="0.92000129214617399"/>
          <c:w val="0.753918495297805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Her - O-C Diagr.</a:t>
            </a:r>
          </a:p>
        </c:rich>
      </c:tx>
      <c:layout>
        <c:manualLayout>
          <c:xMode val="edge"/>
          <c:yMode val="edge"/>
          <c:x val="0.38341223778952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1539043456332"/>
          <c:y val="0.14723926380368099"/>
          <c:w val="0.8137727616587833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1.6979999996692641E-2</c:v>
                </c:pt>
                <c:pt idx="1">
                  <c:v>-5.6939999998576241E-2</c:v>
                </c:pt>
                <c:pt idx="2">
                  <c:v>-8.3640000004379544E-2</c:v>
                </c:pt>
                <c:pt idx="3">
                  <c:v>0</c:v>
                </c:pt>
                <c:pt idx="4">
                  <c:v>5.9819999998580897E-2</c:v>
                </c:pt>
                <c:pt idx="5">
                  <c:v>-2.2500000002764864E-2</c:v>
                </c:pt>
                <c:pt idx="6">
                  <c:v>3.0519999996613478E-2</c:v>
                </c:pt>
                <c:pt idx="7">
                  <c:v>1.3999999646330252E-4</c:v>
                </c:pt>
                <c:pt idx="8">
                  <c:v>-2.6000000070780516E-4</c:v>
                </c:pt>
                <c:pt idx="9">
                  <c:v>7.5799999976879917E-3</c:v>
                </c:pt>
                <c:pt idx="10">
                  <c:v>0.11000000000058208</c:v>
                </c:pt>
                <c:pt idx="11">
                  <c:v>9.4239999998535495E-2</c:v>
                </c:pt>
                <c:pt idx="12">
                  <c:v>6.9919999994453974E-2</c:v>
                </c:pt>
                <c:pt idx="13">
                  <c:v>0.11731999999756226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4-4C8E-8678-5D7CAC8493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4">
                  <c:v>-3.3020000002579764E-2</c:v>
                </c:pt>
                <c:pt idx="15">
                  <c:v>0.15219999999681022</c:v>
                </c:pt>
                <c:pt idx="16">
                  <c:v>0.11817999999766471</c:v>
                </c:pt>
                <c:pt idx="17">
                  <c:v>9.8579999998037238E-2</c:v>
                </c:pt>
                <c:pt idx="18">
                  <c:v>1.1799999992945231E-2</c:v>
                </c:pt>
                <c:pt idx="19">
                  <c:v>-1.9680000004882459E-2</c:v>
                </c:pt>
                <c:pt idx="20">
                  <c:v>-4.1200000050594099E-3</c:v>
                </c:pt>
                <c:pt idx="21">
                  <c:v>0.14583999999740627</c:v>
                </c:pt>
                <c:pt idx="22">
                  <c:v>0.12987999999313615</c:v>
                </c:pt>
                <c:pt idx="23">
                  <c:v>0.18939999999565771</c:v>
                </c:pt>
                <c:pt idx="24">
                  <c:v>0.15001999999367399</c:v>
                </c:pt>
                <c:pt idx="25">
                  <c:v>0.13141999999788823</c:v>
                </c:pt>
                <c:pt idx="26">
                  <c:v>0.1496599999954924</c:v>
                </c:pt>
                <c:pt idx="27">
                  <c:v>0.13130000000091968</c:v>
                </c:pt>
                <c:pt idx="28">
                  <c:v>0.13469999999506399</c:v>
                </c:pt>
                <c:pt idx="31">
                  <c:v>0.12395999998989282</c:v>
                </c:pt>
                <c:pt idx="32">
                  <c:v>0.12659999999596039</c:v>
                </c:pt>
                <c:pt idx="33">
                  <c:v>0.11261999999987893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94-4C8E-8678-5D7CAC8493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0.11829999999463325</c:v>
                </c:pt>
                <c:pt idx="30">
                  <c:v>0.11929999999847496</c:v>
                </c:pt>
                <c:pt idx="34">
                  <c:v>0.10435999999026535</c:v>
                </c:pt>
                <c:pt idx="35">
                  <c:v>0.10447999999450985</c:v>
                </c:pt>
                <c:pt idx="37">
                  <c:v>9.8179999993590172E-2</c:v>
                </c:pt>
                <c:pt idx="38">
                  <c:v>9.2199999999138527E-2</c:v>
                </c:pt>
                <c:pt idx="40">
                  <c:v>9.1359999998530839E-2</c:v>
                </c:pt>
                <c:pt idx="42">
                  <c:v>9.1919999991660006E-2</c:v>
                </c:pt>
                <c:pt idx="43">
                  <c:v>9.1379999990749639E-2</c:v>
                </c:pt>
                <c:pt idx="44">
                  <c:v>7.603999999264488E-2</c:v>
                </c:pt>
                <c:pt idx="45">
                  <c:v>6.2099999995552935E-2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94-4C8E-8678-5D7CAC8493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6">
                  <c:v>9.4699999994190875E-2</c:v>
                </c:pt>
                <c:pt idx="39">
                  <c:v>9.1019999999844003E-2</c:v>
                </c:pt>
                <c:pt idx="41">
                  <c:v>8.9180000002670567E-2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94-4C8E-8678-5D7CAC8493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94-4C8E-8678-5D7CAC8493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94-4C8E-8678-5D7CAC8493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0</c:v>
                  </c:pt>
                  <c:pt idx="27">
                    <c:v>6.0000000000000001E-3</c:v>
                  </c:pt>
                  <c:pt idx="28">
                    <c:v>6.0000000000000001E-3</c:v>
                  </c:pt>
                  <c:pt idx="31">
                    <c:v>5.0000000000000001E-3</c:v>
                  </c:pt>
                  <c:pt idx="32">
                    <c:v>0.01</c:v>
                  </c:pt>
                  <c:pt idx="33">
                    <c:v>6.0000000000000001E-3</c:v>
                  </c:pt>
                  <c:pt idx="34">
                    <c:v>6.9999999999999999E-4</c:v>
                  </c:pt>
                  <c:pt idx="35">
                    <c:v>4.0000000000000001E-3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3.5000000000000001E-3</c:v>
                  </c:pt>
                  <c:pt idx="41">
                    <c:v>2.9999999999999997E-4</c:v>
                  </c:pt>
                  <c:pt idx="42">
                    <c:v>5.9999999999999995E-4</c:v>
                  </c:pt>
                  <c:pt idx="43">
                    <c:v>1.6999999999999999E-3</c:v>
                  </c:pt>
                  <c:pt idx="44">
                    <c:v>1.6999999999999999E-3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94-4C8E-8678-5D7CAC8493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5">
                  <c:v>0.12168811094975962</c:v>
                </c:pt>
                <c:pt idx="26">
                  <c:v>0.12025042748505405</c:v>
                </c:pt>
                <c:pt idx="27">
                  <c:v>0.11869864215807026</c:v>
                </c:pt>
                <c:pt idx="28">
                  <c:v>0.11858454029579203</c:v>
                </c:pt>
                <c:pt idx="29">
                  <c:v>0.11630250305022764</c:v>
                </c:pt>
                <c:pt idx="30">
                  <c:v>0.11630250305022764</c:v>
                </c:pt>
                <c:pt idx="31">
                  <c:v>0.11574340392506437</c:v>
                </c:pt>
                <c:pt idx="32">
                  <c:v>0.11419161859808058</c:v>
                </c:pt>
                <c:pt idx="33">
                  <c:v>0.11392918431484067</c:v>
                </c:pt>
                <c:pt idx="34">
                  <c:v>0.10661525494280678</c:v>
                </c:pt>
                <c:pt idx="35">
                  <c:v>0.10521180203678468</c:v>
                </c:pt>
                <c:pt idx="36">
                  <c:v>0.10198271933431106</c:v>
                </c:pt>
                <c:pt idx="37">
                  <c:v>9.7338773539587517E-2</c:v>
                </c:pt>
                <c:pt idx="38">
                  <c:v>9.2683417558636155E-2</c:v>
                </c:pt>
                <c:pt idx="39">
                  <c:v>8.9853691374136305E-2</c:v>
                </c:pt>
                <c:pt idx="40">
                  <c:v>8.9614077463352038E-2</c:v>
                </c:pt>
                <c:pt idx="41">
                  <c:v>8.8039471763912608E-2</c:v>
                </c:pt>
                <c:pt idx="42">
                  <c:v>8.4719107571616409E-2</c:v>
                </c:pt>
                <c:pt idx="43">
                  <c:v>8.1820920269749631E-2</c:v>
                </c:pt>
                <c:pt idx="44">
                  <c:v>7.8751580174465513E-2</c:v>
                </c:pt>
                <c:pt idx="45">
                  <c:v>7.2544438866530364E-2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94-4C8E-8678-5D7CAC8493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-823</c:v>
                </c:pt>
                <c:pt idx="1">
                  <c:v>-781</c:v>
                </c:pt>
                <c:pt idx="2">
                  <c:v>-286</c:v>
                </c:pt>
                <c:pt idx="3">
                  <c:v>0</c:v>
                </c:pt>
                <c:pt idx="4">
                  <c:v>143</c:v>
                </c:pt>
                <c:pt idx="5">
                  <c:v>175</c:v>
                </c:pt>
                <c:pt idx="6">
                  <c:v>298</c:v>
                </c:pt>
                <c:pt idx="7">
                  <c:v>411</c:v>
                </c:pt>
                <c:pt idx="8">
                  <c:v>1101</c:v>
                </c:pt>
                <c:pt idx="9">
                  <c:v>2317</c:v>
                </c:pt>
                <c:pt idx="10">
                  <c:v>2850</c:v>
                </c:pt>
                <c:pt idx="11">
                  <c:v>2976</c:v>
                </c:pt>
                <c:pt idx="12">
                  <c:v>3158</c:v>
                </c:pt>
                <c:pt idx="13">
                  <c:v>3268</c:v>
                </c:pt>
                <c:pt idx="14">
                  <c:v>4777</c:v>
                </c:pt>
                <c:pt idx="15">
                  <c:v>4830</c:v>
                </c:pt>
                <c:pt idx="16">
                  <c:v>4907</c:v>
                </c:pt>
                <c:pt idx="17">
                  <c:v>5017</c:v>
                </c:pt>
                <c:pt idx="18">
                  <c:v>5020</c:v>
                </c:pt>
                <c:pt idx="19">
                  <c:v>5318</c:v>
                </c:pt>
                <c:pt idx="20">
                  <c:v>5862</c:v>
                </c:pt>
                <c:pt idx="21">
                  <c:v>6666</c:v>
                </c:pt>
                <c:pt idx="22">
                  <c:v>6812</c:v>
                </c:pt>
                <c:pt idx="23">
                  <c:v>7210</c:v>
                </c:pt>
                <c:pt idx="24">
                  <c:v>7223</c:v>
                </c:pt>
                <c:pt idx="25">
                  <c:v>7233</c:v>
                </c:pt>
                <c:pt idx="26">
                  <c:v>7359</c:v>
                </c:pt>
                <c:pt idx="27">
                  <c:v>7495</c:v>
                </c:pt>
                <c:pt idx="28">
                  <c:v>7505</c:v>
                </c:pt>
                <c:pt idx="29">
                  <c:v>7705</c:v>
                </c:pt>
                <c:pt idx="30">
                  <c:v>7705</c:v>
                </c:pt>
                <c:pt idx="31">
                  <c:v>7754</c:v>
                </c:pt>
                <c:pt idx="32">
                  <c:v>7890</c:v>
                </c:pt>
                <c:pt idx="33">
                  <c:v>7913</c:v>
                </c:pt>
                <c:pt idx="34">
                  <c:v>8554</c:v>
                </c:pt>
                <c:pt idx="35">
                  <c:v>8677</c:v>
                </c:pt>
                <c:pt idx="36">
                  <c:v>8960</c:v>
                </c:pt>
                <c:pt idx="37">
                  <c:v>9367</c:v>
                </c:pt>
                <c:pt idx="38">
                  <c:v>9775</c:v>
                </c:pt>
                <c:pt idx="39">
                  <c:v>10023</c:v>
                </c:pt>
                <c:pt idx="40">
                  <c:v>10044</c:v>
                </c:pt>
                <c:pt idx="41">
                  <c:v>10182</c:v>
                </c:pt>
                <c:pt idx="42">
                  <c:v>10473</c:v>
                </c:pt>
                <c:pt idx="43">
                  <c:v>10727</c:v>
                </c:pt>
                <c:pt idx="44">
                  <c:v>10996</c:v>
                </c:pt>
                <c:pt idx="45">
                  <c:v>11540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94-4C8E-8678-5D7CAC84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2872"/>
        <c:axId val="1"/>
      </c:scatterChart>
      <c:valAx>
        <c:axId val="26008287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574725107718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2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27419401213346"/>
          <c:y val="0.92024539877300615"/>
          <c:w val="0.7527398042380852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514350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02B7F14-EF8D-C4DC-F33E-BCEA54F1B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28575</xdr:rowOff>
    </xdr:from>
    <xdr:to>
      <xdr:col>26</xdr:col>
      <xdr:colOff>314325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DD5A7E4-537F-DB7F-0FD9-AF5F0404D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bav-astro.de/sfs/BAVM_link.php?BAVMnr=133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62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5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62</v>
      </c>
    </row>
    <row r="2" spans="1:6">
      <c r="A2" t="s">
        <v>25</v>
      </c>
      <c r="B2" s="8" t="s">
        <v>58</v>
      </c>
    </row>
    <row r="4" spans="1:6" ht="14.25" thickTop="1" thickBot="1">
      <c r="A4" s="5" t="s">
        <v>1</v>
      </c>
      <c r="C4" s="2">
        <v>28309.294000000002</v>
      </c>
      <c r="D4" s="3">
        <v>2.6912600000000002</v>
      </c>
    </row>
    <row r="5" spans="1:6" ht="13.5" thickTop="1">
      <c r="A5" s="11" t="s">
        <v>63</v>
      </c>
      <c r="B5" s="12"/>
      <c r="C5" s="13">
        <v>-9.5</v>
      </c>
      <c r="D5" s="12" t="s">
        <v>64</v>
      </c>
    </row>
    <row r="6" spans="1:6">
      <c r="A6" s="5" t="s">
        <v>2</v>
      </c>
    </row>
    <row r="7" spans="1:6">
      <c r="A7" t="s">
        <v>3</v>
      </c>
      <c r="C7">
        <f>+C4</f>
        <v>28309.294000000002</v>
      </c>
    </row>
    <row r="8" spans="1:6">
      <c r="A8" t="s">
        <v>4</v>
      </c>
      <c r="C8">
        <f>+D4</f>
        <v>2.6912600000000002</v>
      </c>
    </row>
    <row r="9" spans="1:6">
      <c r="A9" s="27" t="s">
        <v>68</v>
      </c>
      <c r="B9" s="28">
        <v>56</v>
      </c>
      <c r="C9" s="16" t="str">
        <f>"F"&amp;B9</f>
        <v>F56</v>
      </c>
      <c r="D9" s="17" t="str">
        <f>"G"&amp;B9</f>
        <v>G56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14">
        <f ca="1">INTERCEPT(INDIRECT($D$9):G992,INDIRECT($C$9):F992)</f>
        <v>0.20421798793559598</v>
      </c>
      <c r="D11" s="15"/>
      <c r="E11" s="12"/>
    </row>
    <row r="12" spans="1:6">
      <c r="A12" s="12" t="s">
        <v>18</v>
      </c>
      <c r="B12" s="12"/>
      <c r="C12" s="14">
        <f ca="1">SLOPE(INDIRECT($D$9):G992,INDIRECT($C$9):F992)</f>
        <v>-1.1410186227821977E-5</v>
      </c>
      <c r="D12" s="15"/>
      <c r="E12" s="12"/>
    </row>
    <row r="13" spans="1:6">
      <c r="A13" s="12" t="s">
        <v>20</v>
      </c>
      <c r="B13" s="12"/>
      <c r="C13" s="15" t="s">
        <v>15</v>
      </c>
    </row>
    <row r="14" spans="1:6">
      <c r="A14" s="12"/>
      <c r="B14" s="12"/>
      <c r="C14" s="12"/>
    </row>
    <row r="15" spans="1:6">
      <c r="A15" s="18" t="s">
        <v>19</v>
      </c>
      <c r="B15" s="12"/>
      <c r="C15" s="19">
        <f ca="1">(C7+C11)+(C8+C12)*INT(MAX(F21:F3533))</f>
        <v>59366.506944438865</v>
      </c>
      <c r="E15" s="20" t="s">
        <v>72</v>
      </c>
      <c r="F15" s="13">
        <v>1</v>
      </c>
    </row>
    <row r="16" spans="1:6">
      <c r="A16" s="22" t="s">
        <v>5</v>
      </c>
      <c r="B16" s="12"/>
      <c r="C16" s="23">
        <f ca="1">+C8+C12</f>
        <v>2.6912485898137724</v>
      </c>
      <c r="E16" s="20" t="s">
        <v>65</v>
      </c>
      <c r="F16" s="21">
        <f ca="1">NOW()+15018.5+$C$5/24</f>
        <v>59958.797434143518</v>
      </c>
    </row>
    <row r="17" spans="1:21" ht="13.5" thickBot="1">
      <c r="A17" s="20" t="s">
        <v>60</v>
      </c>
      <c r="B17" s="12"/>
      <c r="C17" s="12">
        <f>COUNT(C21:C2191)</f>
        <v>46</v>
      </c>
      <c r="E17" s="20" t="s">
        <v>73</v>
      </c>
      <c r="F17" s="21">
        <f ca="1">ROUND(2*(F16-$C$7)/$C$8,0)/2+F15</f>
        <v>11761</v>
      </c>
    </row>
    <row r="18" spans="1:21" ht="14.25" thickTop="1" thickBot="1">
      <c r="A18" s="22" t="s">
        <v>6</v>
      </c>
      <c r="B18" s="12"/>
      <c r="C18" s="25">
        <f ca="1">+C15</f>
        <v>59366.506944438865</v>
      </c>
      <c r="D18" s="26">
        <f ca="1">+C16</f>
        <v>2.6912485898137724</v>
      </c>
      <c r="E18" s="20" t="s">
        <v>66</v>
      </c>
      <c r="F18" s="17">
        <f ca="1">ROUND(2*(F16-$C$15)/$C$16,0)/2+F15</f>
        <v>221</v>
      </c>
    </row>
    <row r="19" spans="1:21" ht="13.5" thickTop="1">
      <c r="E19" s="20" t="s">
        <v>67</v>
      </c>
      <c r="F19" s="24">
        <f ca="1">+$C$15+$C$16*F18-15018.5-$C$5/24</f>
        <v>44943.168716121043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84</v>
      </c>
      <c r="I20" s="7" t="s">
        <v>87</v>
      </c>
      <c r="J20" s="7" t="s">
        <v>81</v>
      </c>
      <c r="K20" s="7" t="s">
        <v>79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5" t="s">
        <v>288</v>
      </c>
    </row>
    <row r="21" spans="1:21" s="29" customFormat="1" ht="12.75" customHeight="1">
      <c r="A21" s="52" t="s">
        <v>96</v>
      </c>
      <c r="B21" s="54" t="s">
        <v>70</v>
      </c>
      <c r="C21" s="53">
        <v>26094.403999999999</v>
      </c>
      <c r="D21" s="53" t="s">
        <v>87</v>
      </c>
      <c r="E21" s="29">
        <f t="shared" ref="E21:E64" si="0">+(C21-C$7)/C$8</f>
        <v>-822.9936906876344</v>
      </c>
      <c r="F21" s="29">
        <f t="shared" ref="F21:F65" si="1">ROUND(2*E21,0)/2</f>
        <v>-823</v>
      </c>
      <c r="G21" s="29">
        <f t="shared" ref="G21:G64" si="2">+C21-(C$7+F21*C$8)</f>
        <v>1.6979999996692641E-2</v>
      </c>
      <c r="H21" s="29">
        <f t="shared" ref="H21:H34" si="3">+G21</f>
        <v>1.6979999996692641E-2</v>
      </c>
      <c r="Q21" s="31">
        <f t="shared" ref="Q21:Q64" si="4">+C21-15018.5</f>
        <v>11075.903999999999</v>
      </c>
    </row>
    <row r="22" spans="1:21" s="29" customFormat="1" ht="12.75" customHeight="1">
      <c r="A22" s="52" t="s">
        <v>96</v>
      </c>
      <c r="B22" s="54" t="s">
        <v>70</v>
      </c>
      <c r="C22" s="53">
        <v>26207.363000000001</v>
      </c>
      <c r="D22" s="53" t="s">
        <v>87</v>
      </c>
      <c r="E22" s="29">
        <f t="shared" si="0"/>
        <v>-781.02115737609904</v>
      </c>
      <c r="F22" s="29">
        <f t="shared" si="1"/>
        <v>-781</v>
      </c>
      <c r="G22" s="29">
        <f t="shared" si="2"/>
        <v>-5.6939999998576241E-2</v>
      </c>
      <c r="H22" s="29">
        <f t="shared" si="3"/>
        <v>-5.6939999998576241E-2</v>
      </c>
      <c r="Q22" s="31">
        <f t="shared" si="4"/>
        <v>11188.863000000001</v>
      </c>
    </row>
    <row r="23" spans="1:21" s="29" customFormat="1" ht="12.75" customHeight="1">
      <c r="A23" s="52" t="s">
        <v>96</v>
      </c>
      <c r="B23" s="54" t="s">
        <v>70</v>
      </c>
      <c r="C23" s="53">
        <v>27539.51</v>
      </c>
      <c r="D23" s="53" t="s">
        <v>87</v>
      </c>
      <c r="E23" s="29">
        <f t="shared" si="0"/>
        <v>-286.03107837964495</v>
      </c>
      <c r="F23" s="29">
        <f t="shared" si="1"/>
        <v>-286</v>
      </c>
      <c r="G23" s="29">
        <f t="shared" si="2"/>
        <v>-8.3640000004379544E-2</v>
      </c>
      <c r="H23" s="29">
        <f t="shared" si="3"/>
        <v>-8.3640000004379544E-2</v>
      </c>
      <c r="Q23" s="31">
        <f t="shared" si="4"/>
        <v>12521.009999999998</v>
      </c>
    </row>
    <row r="24" spans="1:21" s="29" customFormat="1" ht="12.75" customHeight="1">
      <c r="A24" s="29" t="s">
        <v>13</v>
      </c>
      <c r="C24" s="30">
        <v>28309.294000000002</v>
      </c>
      <c r="D24" s="30" t="s">
        <v>15</v>
      </c>
      <c r="E24" s="29">
        <f t="shared" si="0"/>
        <v>0</v>
      </c>
      <c r="F24" s="29">
        <f t="shared" si="1"/>
        <v>0</v>
      </c>
      <c r="G24" s="29">
        <f t="shared" si="2"/>
        <v>0</v>
      </c>
      <c r="H24" s="29">
        <f t="shared" si="3"/>
        <v>0</v>
      </c>
      <c r="Q24" s="31">
        <f t="shared" si="4"/>
        <v>13290.794000000002</v>
      </c>
    </row>
    <row r="25" spans="1:21" s="29" customFormat="1" ht="12.75" customHeight="1">
      <c r="A25" s="52" t="s">
        <v>113</v>
      </c>
      <c r="B25" s="54" t="s">
        <v>70</v>
      </c>
      <c r="C25" s="53">
        <v>28694.204000000002</v>
      </c>
      <c r="D25" s="53" t="s">
        <v>87</v>
      </c>
      <c r="E25" s="29">
        <f t="shared" si="0"/>
        <v>143.0222275068183</v>
      </c>
      <c r="F25" s="29">
        <f t="shared" si="1"/>
        <v>143</v>
      </c>
      <c r="G25" s="29">
        <f t="shared" si="2"/>
        <v>5.9819999998580897E-2</v>
      </c>
      <c r="H25" s="29">
        <f t="shared" si="3"/>
        <v>5.9819999998580897E-2</v>
      </c>
      <c r="Q25" s="31">
        <f t="shared" si="4"/>
        <v>13675.704000000002</v>
      </c>
    </row>
    <row r="26" spans="1:21" s="29" customFormat="1" ht="12.75" customHeight="1">
      <c r="A26" s="52" t="s">
        <v>113</v>
      </c>
      <c r="B26" s="54" t="s">
        <v>70</v>
      </c>
      <c r="C26" s="53">
        <v>28780.241999999998</v>
      </c>
      <c r="D26" s="53" t="s">
        <v>87</v>
      </c>
      <c r="E26" s="29">
        <f t="shared" si="0"/>
        <v>174.99163960375313</v>
      </c>
      <c r="F26" s="29">
        <f t="shared" si="1"/>
        <v>175</v>
      </c>
      <c r="G26" s="29">
        <f t="shared" si="2"/>
        <v>-2.2500000002764864E-2</v>
      </c>
      <c r="H26" s="29">
        <f t="shared" si="3"/>
        <v>-2.2500000002764864E-2</v>
      </c>
      <c r="Q26" s="31">
        <f t="shared" si="4"/>
        <v>13761.741999999998</v>
      </c>
    </row>
    <row r="27" spans="1:21" s="29" customFormat="1" ht="12.75" customHeight="1">
      <c r="A27" s="52" t="s">
        <v>120</v>
      </c>
      <c r="B27" s="54" t="s">
        <v>70</v>
      </c>
      <c r="C27" s="53">
        <v>29111.32</v>
      </c>
      <c r="D27" s="53" t="s">
        <v>87</v>
      </c>
      <c r="E27" s="29">
        <f t="shared" si="0"/>
        <v>298.01134041303999</v>
      </c>
      <c r="F27" s="29">
        <f t="shared" si="1"/>
        <v>298</v>
      </c>
      <c r="G27" s="29">
        <f t="shared" si="2"/>
        <v>3.0519999996613478E-2</v>
      </c>
      <c r="H27" s="29">
        <f t="shared" si="3"/>
        <v>3.0519999996613478E-2</v>
      </c>
      <c r="Q27" s="31">
        <f t="shared" si="4"/>
        <v>14092.82</v>
      </c>
    </row>
    <row r="28" spans="1:21" s="29" customFormat="1" ht="12.75" customHeight="1">
      <c r="A28" s="52" t="s">
        <v>123</v>
      </c>
      <c r="B28" s="54" t="s">
        <v>70</v>
      </c>
      <c r="C28" s="53">
        <v>29415.401999999998</v>
      </c>
      <c r="D28" s="53" t="s">
        <v>87</v>
      </c>
      <c r="E28" s="29">
        <f t="shared" si="0"/>
        <v>411.00005202024198</v>
      </c>
      <c r="F28" s="29">
        <f t="shared" si="1"/>
        <v>411</v>
      </c>
      <c r="G28" s="29">
        <f t="shared" si="2"/>
        <v>1.3999999646330252E-4</v>
      </c>
      <c r="H28" s="29">
        <f t="shared" si="3"/>
        <v>1.3999999646330252E-4</v>
      </c>
      <c r="Q28" s="31">
        <f t="shared" si="4"/>
        <v>14396.901999999998</v>
      </c>
    </row>
    <row r="29" spans="1:21" s="29" customFormat="1" ht="12.75" customHeight="1">
      <c r="A29" s="52" t="s">
        <v>128</v>
      </c>
      <c r="B29" s="54" t="s">
        <v>70</v>
      </c>
      <c r="C29" s="53">
        <v>31272.370999999999</v>
      </c>
      <c r="D29" s="53" t="s">
        <v>87</v>
      </c>
      <c r="E29" s="29">
        <f t="shared" si="0"/>
        <v>1100.9999033909758</v>
      </c>
      <c r="F29" s="29">
        <f t="shared" si="1"/>
        <v>1101</v>
      </c>
      <c r="G29" s="29">
        <f t="shared" si="2"/>
        <v>-2.6000000070780516E-4</v>
      </c>
      <c r="H29" s="29">
        <f t="shared" si="3"/>
        <v>-2.6000000070780516E-4</v>
      </c>
      <c r="Q29" s="31">
        <f t="shared" si="4"/>
        <v>16253.870999999999</v>
      </c>
    </row>
    <row r="30" spans="1:21" s="29" customFormat="1" ht="12.75" customHeight="1">
      <c r="A30" s="52" t="s">
        <v>90</v>
      </c>
      <c r="B30" s="54" t="s">
        <v>70</v>
      </c>
      <c r="C30" s="53">
        <v>34544.951000000001</v>
      </c>
      <c r="D30" s="53" t="s">
        <v>87</v>
      </c>
      <c r="E30" s="29">
        <f t="shared" si="0"/>
        <v>2317.0028165246013</v>
      </c>
      <c r="F30" s="29">
        <f t="shared" si="1"/>
        <v>2317</v>
      </c>
      <c r="G30" s="29">
        <f t="shared" si="2"/>
        <v>7.5799999976879917E-3</v>
      </c>
      <c r="H30" s="29">
        <f t="shared" si="3"/>
        <v>7.5799999976879917E-3</v>
      </c>
      <c r="Q30" s="31">
        <f t="shared" si="4"/>
        <v>19526.451000000001</v>
      </c>
    </row>
    <row r="31" spans="1:21" s="29" customFormat="1" ht="12.75" customHeight="1">
      <c r="A31" s="52" t="s">
        <v>136</v>
      </c>
      <c r="B31" s="54" t="s">
        <v>70</v>
      </c>
      <c r="C31" s="53">
        <v>35979.495000000003</v>
      </c>
      <c r="D31" s="53" t="s">
        <v>87</v>
      </c>
      <c r="E31" s="29">
        <f t="shared" si="0"/>
        <v>2850.0408730483123</v>
      </c>
      <c r="F31" s="29">
        <f t="shared" si="1"/>
        <v>2850</v>
      </c>
      <c r="G31" s="29">
        <f t="shared" si="2"/>
        <v>0.11000000000058208</v>
      </c>
      <c r="H31" s="29">
        <f t="shared" si="3"/>
        <v>0.11000000000058208</v>
      </c>
      <c r="Q31" s="31">
        <f t="shared" si="4"/>
        <v>20960.995000000003</v>
      </c>
    </row>
    <row r="32" spans="1:21" s="29" customFormat="1" ht="12.75" customHeight="1">
      <c r="A32" s="52" t="s">
        <v>136</v>
      </c>
      <c r="B32" s="54" t="s">
        <v>70</v>
      </c>
      <c r="C32" s="53">
        <v>36318.578000000001</v>
      </c>
      <c r="D32" s="53" t="s">
        <v>87</v>
      </c>
      <c r="E32" s="29">
        <f t="shared" si="0"/>
        <v>2976.0350170552078</v>
      </c>
      <c r="F32" s="29">
        <f t="shared" si="1"/>
        <v>2976</v>
      </c>
      <c r="G32" s="29">
        <f t="shared" si="2"/>
        <v>9.4239999998535495E-2</v>
      </c>
      <c r="H32" s="29">
        <f t="shared" si="3"/>
        <v>9.4239999998535495E-2</v>
      </c>
      <c r="Q32" s="31">
        <f t="shared" si="4"/>
        <v>21300.078000000001</v>
      </c>
    </row>
    <row r="33" spans="1:32" s="29" customFormat="1" ht="12.75" customHeight="1">
      <c r="A33" s="52" t="s">
        <v>136</v>
      </c>
      <c r="B33" s="54" t="s">
        <v>70</v>
      </c>
      <c r="C33" s="53">
        <v>36808.362999999998</v>
      </c>
      <c r="D33" s="53" t="s">
        <v>87</v>
      </c>
      <c r="E33" s="29">
        <f t="shared" si="0"/>
        <v>3158.0259803957979</v>
      </c>
      <c r="F33" s="29">
        <f t="shared" si="1"/>
        <v>3158</v>
      </c>
      <c r="G33" s="29">
        <f t="shared" si="2"/>
        <v>6.9919999994453974E-2</v>
      </c>
      <c r="H33" s="29">
        <f t="shared" si="3"/>
        <v>6.9919999994453974E-2</v>
      </c>
      <c r="Q33" s="31">
        <f t="shared" si="4"/>
        <v>21789.862999999998</v>
      </c>
    </row>
    <row r="34" spans="1:32" s="29" customFormat="1" ht="12.75" customHeight="1">
      <c r="A34" s="52" t="s">
        <v>136</v>
      </c>
      <c r="B34" s="54" t="s">
        <v>70</v>
      </c>
      <c r="C34" s="53">
        <v>37104.449000000001</v>
      </c>
      <c r="D34" s="53" t="s">
        <v>87</v>
      </c>
      <c r="E34" s="29">
        <f t="shared" si="0"/>
        <v>3268.0435929638898</v>
      </c>
      <c r="F34" s="29">
        <f t="shared" si="1"/>
        <v>3268</v>
      </c>
      <c r="G34" s="29">
        <f t="shared" si="2"/>
        <v>0.11731999999756226</v>
      </c>
      <c r="H34" s="29">
        <f t="shared" si="3"/>
        <v>0.11731999999756226</v>
      </c>
      <c r="Q34" s="31">
        <f t="shared" si="4"/>
        <v>22085.949000000001</v>
      </c>
    </row>
    <row r="35" spans="1:32" s="29" customFormat="1" ht="12.75" customHeight="1">
      <c r="A35" s="29" t="s">
        <v>30</v>
      </c>
      <c r="C35" s="32">
        <v>41165.410000000003</v>
      </c>
      <c r="D35" s="30"/>
      <c r="E35" s="29">
        <f t="shared" si="0"/>
        <v>4776.9877306540438</v>
      </c>
      <c r="F35" s="29">
        <f t="shared" si="1"/>
        <v>4777</v>
      </c>
      <c r="G35" s="29">
        <f t="shared" si="2"/>
        <v>-3.3020000002579764E-2</v>
      </c>
      <c r="I35" s="29">
        <f t="shared" ref="I35:I49" si="5">+G35</f>
        <v>-3.3020000002579764E-2</v>
      </c>
      <c r="Q35" s="31">
        <f t="shared" si="4"/>
        <v>26146.910000000003</v>
      </c>
      <c r="AB35" s="29">
        <v>7</v>
      </c>
      <c r="AD35" s="29" t="s">
        <v>29</v>
      </c>
      <c r="AF35" s="29" t="s">
        <v>31</v>
      </c>
    </row>
    <row r="36" spans="1:32" s="29" customFormat="1" ht="12.75" customHeight="1">
      <c r="A36" s="29" t="s">
        <v>33</v>
      </c>
      <c r="C36" s="32">
        <v>41308.232000000004</v>
      </c>
      <c r="D36" s="30"/>
      <c r="E36" s="29">
        <f t="shared" si="0"/>
        <v>4830.0565534359375</v>
      </c>
      <c r="F36" s="29">
        <f t="shared" si="1"/>
        <v>4830</v>
      </c>
      <c r="G36" s="29">
        <f t="shared" si="2"/>
        <v>0.15219999999681022</v>
      </c>
      <c r="I36" s="29">
        <f t="shared" si="5"/>
        <v>0.15219999999681022</v>
      </c>
      <c r="Q36" s="31">
        <f t="shared" si="4"/>
        <v>26289.732000000004</v>
      </c>
      <c r="AA36" s="29" t="s">
        <v>32</v>
      </c>
      <c r="AF36" s="29" t="s">
        <v>34</v>
      </c>
    </row>
    <row r="37" spans="1:32" s="29" customFormat="1" ht="12.75" customHeight="1">
      <c r="A37" s="29" t="s">
        <v>35</v>
      </c>
      <c r="C37" s="32">
        <v>41515.425000000003</v>
      </c>
      <c r="D37" s="30"/>
      <c r="E37" s="29">
        <f t="shared" si="0"/>
        <v>4907.0439125168141</v>
      </c>
      <c r="F37" s="29">
        <f t="shared" si="1"/>
        <v>4907</v>
      </c>
      <c r="G37" s="29">
        <f t="shared" si="2"/>
        <v>0.11817999999766471</v>
      </c>
      <c r="I37" s="29">
        <f t="shared" si="5"/>
        <v>0.11817999999766471</v>
      </c>
      <c r="Q37" s="31">
        <f t="shared" si="4"/>
        <v>26496.925000000003</v>
      </c>
      <c r="AA37" s="29" t="s">
        <v>32</v>
      </c>
      <c r="AF37" s="29" t="s">
        <v>34</v>
      </c>
    </row>
    <row r="38" spans="1:32" s="29" customFormat="1" ht="12.75" customHeight="1">
      <c r="A38" s="29" t="s">
        <v>35</v>
      </c>
      <c r="C38" s="32">
        <v>41811.444000000003</v>
      </c>
      <c r="D38" s="30"/>
      <c r="E38" s="29">
        <f t="shared" si="0"/>
        <v>5017.0366296827506</v>
      </c>
      <c r="F38" s="29">
        <f t="shared" si="1"/>
        <v>5017</v>
      </c>
      <c r="G38" s="29">
        <f t="shared" si="2"/>
        <v>9.8579999998037238E-2</v>
      </c>
      <c r="I38" s="29">
        <f t="shared" si="5"/>
        <v>9.8579999998037238E-2</v>
      </c>
      <c r="Q38" s="31">
        <f t="shared" si="4"/>
        <v>26792.944000000003</v>
      </c>
      <c r="AA38" s="29" t="s">
        <v>32</v>
      </c>
      <c r="AF38" s="29" t="s">
        <v>34</v>
      </c>
    </row>
    <row r="39" spans="1:32" s="29" customFormat="1" ht="12.75" customHeight="1">
      <c r="A39" s="29" t="s">
        <v>38</v>
      </c>
      <c r="C39" s="32">
        <v>41819.430999999997</v>
      </c>
      <c r="D39" s="30" t="s">
        <v>36</v>
      </c>
      <c r="E39" s="29">
        <f t="shared" si="0"/>
        <v>5020.0043845633618</v>
      </c>
      <c r="F39" s="29">
        <f t="shared" si="1"/>
        <v>5020</v>
      </c>
      <c r="G39" s="29">
        <f t="shared" si="2"/>
        <v>1.1799999992945231E-2</v>
      </c>
      <c r="I39" s="29">
        <f t="shared" si="5"/>
        <v>1.1799999992945231E-2</v>
      </c>
      <c r="Q39" s="31">
        <f t="shared" si="4"/>
        <v>26800.930999999997</v>
      </c>
      <c r="AA39" s="29" t="s">
        <v>32</v>
      </c>
      <c r="AB39" s="29">
        <v>4</v>
      </c>
      <c r="AD39" s="29" t="s">
        <v>37</v>
      </c>
      <c r="AF39" s="29" t="s">
        <v>31</v>
      </c>
    </row>
    <row r="40" spans="1:32" s="29" customFormat="1" ht="12.75" customHeight="1">
      <c r="A40" s="29" t="s">
        <v>39</v>
      </c>
      <c r="C40" s="32">
        <v>42621.394999999997</v>
      </c>
      <c r="D40" s="30"/>
      <c r="E40" s="29">
        <f t="shared" si="0"/>
        <v>5317.9926874400817</v>
      </c>
      <c r="F40" s="29">
        <f t="shared" si="1"/>
        <v>5318</v>
      </c>
      <c r="G40" s="29">
        <f t="shared" si="2"/>
        <v>-1.9680000004882459E-2</v>
      </c>
      <c r="I40" s="29">
        <f t="shared" si="5"/>
        <v>-1.9680000004882459E-2</v>
      </c>
      <c r="Q40" s="31">
        <f t="shared" si="4"/>
        <v>27602.894999999997</v>
      </c>
      <c r="AA40" s="29" t="s">
        <v>32</v>
      </c>
      <c r="AB40" s="29">
        <v>9</v>
      </c>
      <c r="AD40" s="29" t="s">
        <v>29</v>
      </c>
      <c r="AF40" s="29" t="s">
        <v>31</v>
      </c>
    </row>
    <row r="41" spans="1:32" s="29" customFormat="1" ht="12.75" customHeight="1">
      <c r="A41" s="29" t="s">
        <v>40</v>
      </c>
      <c r="C41" s="32">
        <v>44085.455999999998</v>
      </c>
      <c r="D41" s="30"/>
      <c r="E41" s="29">
        <f t="shared" si="0"/>
        <v>5861.9984691185527</v>
      </c>
      <c r="F41" s="29">
        <f t="shared" si="1"/>
        <v>5862</v>
      </c>
      <c r="G41" s="29">
        <f t="shared" si="2"/>
        <v>-4.1200000050594099E-3</v>
      </c>
      <c r="I41" s="29">
        <f t="shared" si="5"/>
        <v>-4.1200000050594099E-3</v>
      </c>
      <c r="Q41" s="31">
        <f t="shared" si="4"/>
        <v>29066.955999999998</v>
      </c>
      <c r="AA41" s="29" t="s">
        <v>32</v>
      </c>
      <c r="AF41" s="29" t="s">
        <v>34</v>
      </c>
    </row>
    <row r="42" spans="1:32" s="29" customFormat="1" ht="12.75" customHeight="1">
      <c r="A42" s="29" t="s">
        <v>41</v>
      </c>
      <c r="C42" s="32">
        <v>46249.379000000001</v>
      </c>
      <c r="D42" s="30"/>
      <c r="E42" s="29">
        <f t="shared" si="0"/>
        <v>6666.0541902305977</v>
      </c>
      <c r="F42" s="29">
        <f t="shared" si="1"/>
        <v>6666</v>
      </c>
      <c r="G42" s="29">
        <f t="shared" si="2"/>
        <v>0.14583999999740627</v>
      </c>
      <c r="I42" s="29">
        <f t="shared" si="5"/>
        <v>0.14583999999740627</v>
      </c>
      <c r="Q42" s="31">
        <f t="shared" si="4"/>
        <v>31230.879000000001</v>
      </c>
      <c r="AA42" s="29" t="s">
        <v>32</v>
      </c>
      <c r="AF42" s="29" t="s">
        <v>34</v>
      </c>
    </row>
    <row r="43" spans="1:32" s="29" customFormat="1" ht="12.75" customHeight="1">
      <c r="A43" s="29" t="s">
        <v>43</v>
      </c>
      <c r="C43" s="32">
        <v>46642.286999999997</v>
      </c>
      <c r="D43" s="30"/>
      <c r="E43" s="29">
        <f t="shared" si="0"/>
        <v>6812.048259922859</v>
      </c>
      <c r="F43" s="29">
        <f t="shared" si="1"/>
        <v>6812</v>
      </c>
      <c r="G43" s="29">
        <f t="shared" si="2"/>
        <v>0.12987999999313615</v>
      </c>
      <c r="I43" s="29">
        <f t="shared" si="5"/>
        <v>0.12987999999313615</v>
      </c>
      <c r="Q43" s="31">
        <f t="shared" si="4"/>
        <v>31623.786999999997</v>
      </c>
      <c r="AA43" s="29" t="s">
        <v>32</v>
      </c>
      <c r="AB43" s="29">
        <v>34</v>
      </c>
      <c r="AD43" s="29" t="s">
        <v>42</v>
      </c>
      <c r="AF43" s="29" t="s">
        <v>31</v>
      </c>
    </row>
    <row r="44" spans="1:32" s="29" customFormat="1" ht="12.75" customHeight="1">
      <c r="A44" s="29" t="s">
        <v>45</v>
      </c>
      <c r="C44" s="32">
        <v>47713.468000000001</v>
      </c>
      <c r="D44" s="30"/>
      <c r="E44" s="29">
        <f t="shared" si="0"/>
        <v>7210.0703759577291</v>
      </c>
      <c r="F44" s="29">
        <f t="shared" si="1"/>
        <v>7210</v>
      </c>
      <c r="G44" s="29">
        <f t="shared" si="2"/>
        <v>0.18939999999565771</v>
      </c>
      <c r="I44" s="29">
        <f t="shared" si="5"/>
        <v>0.18939999999565771</v>
      </c>
      <c r="Q44" s="31">
        <f t="shared" si="4"/>
        <v>32694.968000000001</v>
      </c>
      <c r="AA44" s="29" t="s">
        <v>32</v>
      </c>
      <c r="AB44" s="29">
        <v>12</v>
      </c>
      <c r="AD44" s="29" t="s">
        <v>44</v>
      </c>
      <c r="AF44" s="29" t="s">
        <v>31</v>
      </c>
    </row>
    <row r="45" spans="1:32" s="29" customFormat="1" ht="12.75" customHeight="1">
      <c r="A45" s="29" t="s">
        <v>45</v>
      </c>
      <c r="C45" s="32">
        <v>47748.415000000001</v>
      </c>
      <c r="D45" s="30"/>
      <c r="E45" s="29">
        <f t="shared" si="0"/>
        <v>7223.0557434064331</v>
      </c>
      <c r="F45" s="29">
        <f t="shared" si="1"/>
        <v>7223</v>
      </c>
      <c r="G45" s="29">
        <f t="shared" si="2"/>
        <v>0.15001999999367399</v>
      </c>
      <c r="I45" s="29">
        <f t="shared" si="5"/>
        <v>0.15001999999367399</v>
      </c>
      <c r="Q45" s="31">
        <f t="shared" si="4"/>
        <v>32729.915000000001</v>
      </c>
      <c r="AA45" s="29" t="s">
        <v>32</v>
      </c>
      <c r="AB45" s="29">
        <v>10</v>
      </c>
      <c r="AD45" s="29" t="s">
        <v>44</v>
      </c>
      <c r="AF45" s="29" t="s">
        <v>31</v>
      </c>
    </row>
    <row r="46" spans="1:32" s="29" customFormat="1" ht="12.75" customHeight="1">
      <c r="A46" s="29" t="s">
        <v>47</v>
      </c>
      <c r="C46" s="32">
        <v>47775.309000000001</v>
      </c>
      <c r="D46" s="30"/>
      <c r="E46" s="29">
        <f t="shared" si="0"/>
        <v>7233.0488321455368</v>
      </c>
      <c r="F46" s="29">
        <f t="shared" si="1"/>
        <v>7233</v>
      </c>
      <c r="G46" s="29">
        <f t="shared" si="2"/>
        <v>0.13141999999788823</v>
      </c>
      <c r="I46" s="29">
        <f t="shared" si="5"/>
        <v>0.13141999999788823</v>
      </c>
      <c r="O46" s="29">
        <f t="shared" ref="O46:O64" ca="1" si="6">+C$11+C$12*F46</f>
        <v>0.12168811094975962</v>
      </c>
      <c r="Q46" s="31">
        <f t="shared" si="4"/>
        <v>32756.809000000001</v>
      </c>
      <c r="AA46" s="29" t="s">
        <v>32</v>
      </c>
      <c r="AB46" s="29">
        <v>7</v>
      </c>
      <c r="AD46" s="29" t="s">
        <v>46</v>
      </c>
      <c r="AF46" s="29" t="s">
        <v>31</v>
      </c>
    </row>
    <row r="47" spans="1:32" s="29" customFormat="1" ht="12.75" customHeight="1">
      <c r="A47" s="29" t="s">
        <v>48</v>
      </c>
      <c r="C47" s="32">
        <v>48114.425999999999</v>
      </c>
      <c r="D47" s="30"/>
      <c r="E47" s="29">
        <f t="shared" si="0"/>
        <v>7359.0556096400933</v>
      </c>
      <c r="F47" s="29">
        <f t="shared" si="1"/>
        <v>7359</v>
      </c>
      <c r="G47" s="29">
        <f t="shared" si="2"/>
        <v>0.1496599999954924</v>
      </c>
      <c r="I47" s="29">
        <f t="shared" si="5"/>
        <v>0.1496599999954924</v>
      </c>
      <c r="O47" s="29">
        <f t="shared" ca="1" si="6"/>
        <v>0.12025042748505405</v>
      </c>
      <c r="Q47" s="31">
        <f t="shared" si="4"/>
        <v>33095.925999999999</v>
      </c>
      <c r="AA47" s="29" t="s">
        <v>32</v>
      </c>
      <c r="AB47" s="29">
        <v>7</v>
      </c>
      <c r="AD47" s="29" t="s">
        <v>44</v>
      </c>
      <c r="AF47" s="29" t="s">
        <v>31</v>
      </c>
    </row>
    <row r="48" spans="1:32" s="29" customFormat="1" ht="12.75" customHeight="1">
      <c r="A48" s="29" t="s">
        <v>49</v>
      </c>
      <c r="C48" s="32">
        <v>48480.419000000002</v>
      </c>
      <c r="D48" s="30">
        <v>6.0000000000000001E-3</v>
      </c>
      <c r="E48" s="29">
        <f t="shared" si="0"/>
        <v>7495.0487875567569</v>
      </c>
      <c r="F48" s="29">
        <f t="shared" si="1"/>
        <v>7495</v>
      </c>
      <c r="G48" s="29">
        <f t="shared" si="2"/>
        <v>0.13130000000091968</v>
      </c>
      <c r="I48" s="29">
        <f t="shared" si="5"/>
        <v>0.13130000000091968</v>
      </c>
      <c r="O48" s="29">
        <f t="shared" ca="1" si="6"/>
        <v>0.11869864215807026</v>
      </c>
      <c r="Q48" s="31">
        <f t="shared" si="4"/>
        <v>33461.919000000002</v>
      </c>
      <c r="AA48" s="29" t="s">
        <v>32</v>
      </c>
      <c r="AB48" s="29">
        <v>7</v>
      </c>
      <c r="AD48" s="29" t="s">
        <v>44</v>
      </c>
      <c r="AF48" s="29" t="s">
        <v>31</v>
      </c>
    </row>
    <row r="49" spans="1:32" s="29" customFormat="1" ht="12.75" customHeight="1">
      <c r="A49" s="29" t="s">
        <v>50</v>
      </c>
      <c r="C49" s="32">
        <v>48507.334999999999</v>
      </c>
      <c r="D49" s="30">
        <v>6.0000000000000001E-3</v>
      </c>
      <c r="E49" s="29">
        <f t="shared" si="0"/>
        <v>7505.0500509055219</v>
      </c>
      <c r="F49" s="29">
        <f t="shared" si="1"/>
        <v>7505</v>
      </c>
      <c r="G49" s="29">
        <f t="shared" si="2"/>
        <v>0.13469999999506399</v>
      </c>
      <c r="I49" s="29">
        <f t="shared" si="5"/>
        <v>0.13469999999506399</v>
      </c>
      <c r="O49" s="29">
        <f t="shared" ca="1" si="6"/>
        <v>0.11858454029579203</v>
      </c>
      <c r="Q49" s="31">
        <f t="shared" si="4"/>
        <v>33488.834999999999</v>
      </c>
      <c r="AA49" s="29" t="s">
        <v>32</v>
      </c>
      <c r="AB49" s="29">
        <v>8</v>
      </c>
      <c r="AD49" s="29" t="s">
        <v>44</v>
      </c>
      <c r="AF49" s="29" t="s">
        <v>31</v>
      </c>
    </row>
    <row r="50" spans="1:32" s="29" customFormat="1" ht="12.75" customHeight="1">
      <c r="A50" s="29" t="s">
        <v>52</v>
      </c>
      <c r="C50" s="32">
        <v>49045.570599999999</v>
      </c>
      <c r="D50" s="30"/>
      <c r="E50" s="29">
        <f t="shared" si="0"/>
        <v>7705.0439571055922</v>
      </c>
      <c r="F50" s="29">
        <f t="shared" si="1"/>
        <v>7705</v>
      </c>
      <c r="G50" s="29">
        <f t="shared" si="2"/>
        <v>0.11829999999463325</v>
      </c>
      <c r="J50" s="29">
        <f>+G50</f>
        <v>0.11829999999463325</v>
      </c>
      <c r="O50" s="29">
        <f t="shared" ca="1" si="6"/>
        <v>0.11630250305022764</v>
      </c>
      <c r="Q50" s="31">
        <f t="shared" si="4"/>
        <v>34027.070599999999</v>
      </c>
      <c r="AA50" s="29" t="s">
        <v>51</v>
      </c>
      <c r="AF50" s="29" t="s">
        <v>34</v>
      </c>
    </row>
    <row r="51" spans="1:32" s="29" customFormat="1" ht="12.75" customHeight="1">
      <c r="A51" s="29" t="s">
        <v>52</v>
      </c>
      <c r="C51" s="32">
        <v>49045.571600000003</v>
      </c>
      <c r="D51" s="30"/>
      <c r="E51" s="29">
        <f t="shared" si="0"/>
        <v>7705.0443286787604</v>
      </c>
      <c r="F51" s="29">
        <f t="shared" si="1"/>
        <v>7705</v>
      </c>
      <c r="G51" s="29">
        <f t="shared" si="2"/>
        <v>0.11929999999847496</v>
      </c>
      <c r="J51" s="29">
        <f>+G51</f>
        <v>0.11929999999847496</v>
      </c>
      <c r="O51" s="29">
        <f t="shared" ca="1" si="6"/>
        <v>0.11630250305022764</v>
      </c>
      <c r="Q51" s="31">
        <f t="shared" si="4"/>
        <v>34027.071600000003</v>
      </c>
      <c r="AA51" s="29" t="s">
        <v>53</v>
      </c>
      <c r="AF51" s="29" t="s">
        <v>34</v>
      </c>
    </row>
    <row r="52" spans="1:32" s="29" customFormat="1" ht="12.75" customHeight="1">
      <c r="A52" s="29" t="s">
        <v>54</v>
      </c>
      <c r="C52" s="32">
        <v>49177.447999999997</v>
      </c>
      <c r="D52" s="30">
        <v>5.0000000000000001E-3</v>
      </c>
      <c r="E52" s="29">
        <f t="shared" si="0"/>
        <v>7754.0460602097137</v>
      </c>
      <c r="F52" s="29">
        <f t="shared" si="1"/>
        <v>7754</v>
      </c>
      <c r="G52" s="29">
        <f t="shared" si="2"/>
        <v>0.12395999998989282</v>
      </c>
      <c r="I52" s="29">
        <f>+G52</f>
        <v>0.12395999998989282</v>
      </c>
      <c r="O52" s="29">
        <f t="shared" ca="1" si="6"/>
        <v>0.11574340392506437</v>
      </c>
      <c r="Q52" s="31">
        <f t="shared" si="4"/>
        <v>34158.947999999997</v>
      </c>
      <c r="AB52" s="29">
        <v>9</v>
      </c>
      <c r="AD52" s="29" t="s">
        <v>44</v>
      </c>
      <c r="AF52" s="29" t="s">
        <v>31</v>
      </c>
    </row>
    <row r="53" spans="1:32" s="29" customFormat="1" ht="12.75" customHeight="1">
      <c r="A53" s="29" t="s">
        <v>55</v>
      </c>
      <c r="C53" s="32">
        <v>49543.462</v>
      </c>
      <c r="D53" s="30">
        <v>0.01</v>
      </c>
      <c r="E53" s="29">
        <f t="shared" si="0"/>
        <v>7890.0470411628739</v>
      </c>
      <c r="F53" s="29">
        <f t="shared" si="1"/>
        <v>7890</v>
      </c>
      <c r="G53" s="29">
        <f t="shared" si="2"/>
        <v>0.12659999999596039</v>
      </c>
      <c r="I53" s="29">
        <f>+G53</f>
        <v>0.12659999999596039</v>
      </c>
      <c r="O53" s="29">
        <f t="shared" ca="1" si="6"/>
        <v>0.11419161859808058</v>
      </c>
      <c r="Q53" s="31">
        <f t="shared" si="4"/>
        <v>34524.962</v>
      </c>
      <c r="AA53" s="29" t="s">
        <v>32</v>
      </c>
      <c r="AB53" s="29">
        <v>49</v>
      </c>
      <c r="AD53" s="29" t="s">
        <v>42</v>
      </c>
      <c r="AF53" s="29" t="s">
        <v>31</v>
      </c>
    </row>
    <row r="54" spans="1:32" s="29" customFormat="1" ht="12.75" customHeight="1">
      <c r="A54" s="29" t="s">
        <v>56</v>
      </c>
      <c r="C54" s="32">
        <v>49605.347000000002</v>
      </c>
      <c r="D54" s="30">
        <v>6.0000000000000001E-3</v>
      </c>
      <c r="E54" s="29">
        <f t="shared" si="0"/>
        <v>7913.0418465700077</v>
      </c>
      <c r="F54" s="29">
        <f t="shared" si="1"/>
        <v>7913</v>
      </c>
      <c r="G54" s="29">
        <f t="shared" si="2"/>
        <v>0.11261999999987893</v>
      </c>
      <c r="I54" s="29">
        <f>+G54</f>
        <v>0.11261999999987893</v>
      </c>
      <c r="O54" s="29">
        <f t="shared" ca="1" si="6"/>
        <v>0.11392918431484067</v>
      </c>
      <c r="Q54" s="31">
        <f t="shared" si="4"/>
        <v>34586.847000000002</v>
      </c>
      <c r="AA54" s="29" t="s">
        <v>32</v>
      </c>
      <c r="AB54" s="29">
        <v>8</v>
      </c>
      <c r="AD54" s="29" t="s">
        <v>44</v>
      </c>
      <c r="AF54" s="29" t="s">
        <v>31</v>
      </c>
    </row>
    <row r="55" spans="1:32" s="29" customFormat="1" ht="12.75" customHeight="1">
      <c r="A55" s="29" t="s">
        <v>57</v>
      </c>
      <c r="C55" s="30">
        <v>51330.436399999999</v>
      </c>
      <c r="D55" s="30">
        <v>6.9999999999999999E-4</v>
      </c>
      <c r="E55" s="29">
        <f t="shared" si="0"/>
        <v>8554.038777375652</v>
      </c>
      <c r="F55" s="29">
        <f t="shared" si="1"/>
        <v>8554</v>
      </c>
      <c r="G55" s="29">
        <f t="shared" si="2"/>
        <v>0.10435999999026535</v>
      </c>
      <c r="J55" s="29">
        <f>+G55</f>
        <v>0.10435999999026535</v>
      </c>
      <c r="O55" s="29">
        <f t="shared" ca="1" si="6"/>
        <v>0.10661525494280678</v>
      </c>
      <c r="Q55" s="31">
        <f t="shared" si="4"/>
        <v>36311.936399999999</v>
      </c>
    </row>
    <row r="56" spans="1:32" s="29" customFormat="1" ht="12.75" customHeight="1">
      <c r="A56" s="9" t="s">
        <v>59</v>
      </c>
      <c r="B56" s="34"/>
      <c r="C56" s="35">
        <v>51661.461499999998</v>
      </c>
      <c r="D56" s="35">
        <v>4.0000000000000001E-3</v>
      </c>
      <c r="E56" s="29">
        <f t="shared" si="0"/>
        <v>8677.0388219644301</v>
      </c>
      <c r="F56" s="29">
        <f t="shared" si="1"/>
        <v>8677</v>
      </c>
      <c r="G56" s="29">
        <f t="shared" si="2"/>
        <v>0.10447999999450985</v>
      </c>
      <c r="J56" s="29">
        <f>+G56</f>
        <v>0.10447999999450985</v>
      </c>
      <c r="O56" s="29">
        <f t="shared" ca="1" si="6"/>
        <v>0.10521180203678468</v>
      </c>
      <c r="Q56" s="31">
        <f t="shared" si="4"/>
        <v>36642.961499999998</v>
      </c>
    </row>
    <row r="57" spans="1:32" s="29" customFormat="1" ht="12.75" customHeight="1">
      <c r="A57" s="52" t="s">
        <v>252</v>
      </c>
      <c r="B57" s="54" t="s">
        <v>70</v>
      </c>
      <c r="C57" s="53">
        <v>52423.078300000001</v>
      </c>
      <c r="D57" s="53" t="s">
        <v>87</v>
      </c>
      <c r="E57" s="29">
        <f t="shared" si="0"/>
        <v>8960.0351879788632</v>
      </c>
      <c r="F57" s="29">
        <f t="shared" si="1"/>
        <v>8960</v>
      </c>
      <c r="G57" s="29">
        <f t="shared" si="2"/>
        <v>9.4699999994190875E-2</v>
      </c>
      <c r="K57" s="29">
        <f>+G57</f>
        <v>9.4699999994190875E-2</v>
      </c>
      <c r="O57" s="29">
        <f t="shared" ca="1" si="6"/>
        <v>0.10198271933431106</v>
      </c>
      <c r="Q57" s="31">
        <f t="shared" si="4"/>
        <v>37404.578300000001</v>
      </c>
    </row>
    <row r="58" spans="1:32" s="29" customFormat="1" ht="12.75" customHeight="1">
      <c r="A58" s="33" t="s">
        <v>61</v>
      </c>
      <c r="B58" s="34"/>
      <c r="C58" s="9">
        <v>53518.424599999998</v>
      </c>
      <c r="D58" s="9">
        <v>1E-3</v>
      </c>
      <c r="E58" s="29">
        <f t="shared" si="0"/>
        <v>9367.0364810534829</v>
      </c>
      <c r="F58" s="29">
        <f t="shared" si="1"/>
        <v>9367</v>
      </c>
      <c r="G58" s="29">
        <f t="shared" si="2"/>
        <v>9.8179999993590172E-2</v>
      </c>
      <c r="J58" s="29">
        <f>+G58</f>
        <v>9.8179999993590172E-2</v>
      </c>
      <c r="O58" s="29">
        <f t="shared" ca="1" si="6"/>
        <v>9.7338773539587517E-2</v>
      </c>
      <c r="Q58" s="31">
        <f t="shared" si="4"/>
        <v>38499.924599999998</v>
      </c>
    </row>
    <row r="59" spans="1:32" s="29" customFormat="1" ht="12.75" customHeight="1">
      <c r="A59" s="36" t="s">
        <v>69</v>
      </c>
      <c r="B59" s="37" t="s">
        <v>70</v>
      </c>
      <c r="C59" s="36">
        <v>54616.452700000002</v>
      </c>
      <c r="D59" s="36">
        <v>2.9999999999999997E-4</v>
      </c>
      <c r="E59" s="29">
        <f t="shared" si="0"/>
        <v>9775.0342590459477</v>
      </c>
      <c r="F59" s="29">
        <f t="shared" si="1"/>
        <v>9775</v>
      </c>
      <c r="G59" s="29">
        <f t="shared" si="2"/>
        <v>9.2199999999138527E-2</v>
      </c>
      <c r="J59" s="29">
        <f>+G59</f>
        <v>9.2199999999138527E-2</v>
      </c>
      <c r="O59" s="29">
        <f t="shared" ca="1" si="6"/>
        <v>9.2683417558636155E-2</v>
      </c>
      <c r="Q59" s="31">
        <f t="shared" si="4"/>
        <v>39597.952700000002</v>
      </c>
    </row>
    <row r="60" spans="1:32" s="29" customFormat="1" ht="12.75" customHeight="1">
      <c r="A60" s="9" t="s">
        <v>71</v>
      </c>
      <c r="B60" s="38" t="s">
        <v>70</v>
      </c>
      <c r="C60" s="9">
        <v>55283.883999999998</v>
      </c>
      <c r="D60" s="9">
        <v>1E-4</v>
      </c>
      <c r="E60" s="29">
        <f t="shared" si="0"/>
        <v>10023.03382058961</v>
      </c>
      <c r="F60" s="29">
        <f t="shared" si="1"/>
        <v>10023</v>
      </c>
      <c r="G60" s="29">
        <f t="shared" si="2"/>
        <v>9.1019999999844003E-2</v>
      </c>
      <c r="K60" s="29">
        <f>+G60</f>
        <v>9.1019999999844003E-2</v>
      </c>
      <c r="O60" s="29">
        <f t="shared" ca="1" si="6"/>
        <v>8.9853691374136305E-2</v>
      </c>
      <c r="Q60" s="31">
        <f t="shared" si="4"/>
        <v>40265.383999999998</v>
      </c>
    </row>
    <row r="61" spans="1:32" s="29" customFormat="1" ht="12.75" customHeight="1">
      <c r="A61" s="9" t="s">
        <v>74</v>
      </c>
      <c r="B61" s="38" t="s">
        <v>70</v>
      </c>
      <c r="C61" s="9">
        <v>55340.400800000003</v>
      </c>
      <c r="D61" s="9">
        <v>3.5000000000000001E-3</v>
      </c>
      <c r="E61" s="29">
        <f t="shared" si="0"/>
        <v>10044.033946924488</v>
      </c>
      <c r="F61" s="29">
        <f t="shared" si="1"/>
        <v>10044</v>
      </c>
      <c r="G61" s="29">
        <f t="shared" si="2"/>
        <v>9.1359999998530839E-2</v>
      </c>
      <c r="J61" s="29">
        <f>+G61</f>
        <v>9.1359999998530839E-2</v>
      </c>
      <c r="O61" s="29">
        <f t="shared" ca="1" si="6"/>
        <v>8.9614077463352038E-2</v>
      </c>
      <c r="Q61" s="31">
        <f t="shared" si="4"/>
        <v>40321.900800000003</v>
      </c>
    </row>
    <row r="62" spans="1:32" s="29" customFormat="1" ht="12.75" customHeight="1">
      <c r="A62" s="9" t="s">
        <v>75</v>
      </c>
      <c r="B62" s="38" t="s">
        <v>70</v>
      </c>
      <c r="C62" s="9">
        <v>55711.792500000003</v>
      </c>
      <c r="D62" s="9">
        <v>2.9999999999999997E-4</v>
      </c>
      <c r="E62" s="29">
        <f t="shared" si="0"/>
        <v>10182.033136894986</v>
      </c>
      <c r="F62" s="29">
        <f t="shared" si="1"/>
        <v>10182</v>
      </c>
      <c r="G62" s="29">
        <f t="shared" si="2"/>
        <v>8.9180000002670567E-2</v>
      </c>
      <c r="K62" s="29">
        <f>+G62</f>
        <v>8.9180000002670567E-2</v>
      </c>
      <c r="O62" s="29">
        <f t="shared" ca="1" si="6"/>
        <v>8.8039471763912608E-2</v>
      </c>
      <c r="Q62" s="31">
        <f t="shared" si="4"/>
        <v>40693.292500000003</v>
      </c>
    </row>
    <row r="63" spans="1:32" s="29" customFormat="1" ht="12.75" customHeight="1">
      <c r="A63" s="56" t="s">
        <v>76</v>
      </c>
      <c r="B63" s="57" t="s">
        <v>70</v>
      </c>
      <c r="C63" s="56">
        <v>56494.9519</v>
      </c>
      <c r="D63" s="56">
        <v>5.9999999999999995E-4</v>
      </c>
      <c r="E63" s="29">
        <f t="shared" si="0"/>
        <v>10473.03415500546</v>
      </c>
      <c r="F63" s="29">
        <f t="shared" si="1"/>
        <v>10473</v>
      </c>
      <c r="G63" s="29">
        <f t="shared" si="2"/>
        <v>9.1919999991660006E-2</v>
      </c>
      <c r="J63" s="29">
        <f>+G63</f>
        <v>9.1919999991660006E-2</v>
      </c>
      <c r="O63" s="29">
        <f t="shared" ca="1" si="6"/>
        <v>8.4719107571616409E-2</v>
      </c>
      <c r="Q63" s="31">
        <f t="shared" si="4"/>
        <v>41476.4519</v>
      </c>
    </row>
    <row r="64" spans="1:32" s="29" customFormat="1" ht="12.75" customHeight="1">
      <c r="A64" s="58" t="s">
        <v>289</v>
      </c>
      <c r="B64" s="59"/>
      <c r="C64" s="60">
        <v>57178.5314</v>
      </c>
      <c r="D64" s="60">
        <v>1.6999999999999999E-3</v>
      </c>
      <c r="E64" s="29">
        <f t="shared" si="0"/>
        <v>10727.033954355951</v>
      </c>
      <c r="F64" s="29">
        <f t="shared" si="1"/>
        <v>10727</v>
      </c>
      <c r="G64" s="29">
        <f t="shared" si="2"/>
        <v>9.1379999990749639E-2</v>
      </c>
      <c r="J64" s="29">
        <f>+G64</f>
        <v>9.1379999990749639E-2</v>
      </c>
      <c r="O64" s="29">
        <f t="shared" ca="1" si="6"/>
        <v>8.1820920269749631E-2</v>
      </c>
      <c r="Q64" s="31">
        <f t="shared" si="4"/>
        <v>42160.0314</v>
      </c>
    </row>
    <row r="65" spans="1:17" s="29" customFormat="1" ht="12.75" customHeight="1">
      <c r="A65" s="61" t="s">
        <v>0</v>
      </c>
      <c r="B65" s="62" t="s">
        <v>70</v>
      </c>
      <c r="C65" s="62">
        <v>57902.464999999997</v>
      </c>
      <c r="D65" s="62">
        <v>1.6999999999999999E-3</v>
      </c>
      <c r="E65" s="29">
        <f>+(C65-C$7)/C$8</f>
        <v>10996.028254423576</v>
      </c>
      <c r="F65" s="29">
        <f t="shared" si="1"/>
        <v>10996</v>
      </c>
      <c r="G65" s="29">
        <f>+C65-(C$7+F65*C$8)</f>
        <v>7.603999999264488E-2</v>
      </c>
      <c r="J65" s="29">
        <f>+G65</f>
        <v>7.603999999264488E-2</v>
      </c>
      <c r="O65" s="29">
        <f ca="1">+C$11+C$12*F65</f>
        <v>7.8751580174465513E-2</v>
      </c>
      <c r="Q65" s="31">
        <f>+C65-15018.5</f>
        <v>42883.964999999997</v>
      </c>
    </row>
    <row r="66" spans="1:17" s="29" customFormat="1" ht="12.75" customHeight="1">
      <c r="A66" s="63" t="s">
        <v>290</v>
      </c>
      <c r="B66" s="64" t="s">
        <v>70</v>
      </c>
      <c r="C66" s="65">
        <v>59366.496500000001</v>
      </c>
      <c r="D66" s="63">
        <v>6.9999999999999999E-4</v>
      </c>
      <c r="E66" s="29">
        <f>+(C66-C$7)/C$8</f>
        <v>11540.023074693638</v>
      </c>
      <c r="F66" s="29">
        <f t="shared" ref="F66" si="7">ROUND(2*E66,0)/2</f>
        <v>11540</v>
      </c>
      <c r="G66" s="29">
        <f>+C66-(C$7+F66*C$8)</f>
        <v>6.2099999995552935E-2</v>
      </c>
      <c r="J66" s="29">
        <f>+G66</f>
        <v>6.2099999995552935E-2</v>
      </c>
      <c r="O66" s="29">
        <f ca="1">+C$11+C$12*F66</f>
        <v>7.2544438866530364E-2</v>
      </c>
      <c r="Q66" s="31">
        <f>+C66-15018.5</f>
        <v>44347.996500000001</v>
      </c>
    </row>
    <row r="67" spans="1:17" s="29" customFormat="1" ht="12.75" customHeight="1">
      <c r="C67" s="30"/>
      <c r="D67" s="30"/>
    </row>
    <row r="68" spans="1:17" s="29" customFormat="1" ht="12.75" customHeight="1">
      <c r="C68" s="30"/>
      <c r="D68" s="30"/>
    </row>
    <row r="69" spans="1:17" s="29" customFormat="1" ht="12.75" customHeight="1">
      <c r="C69" s="30"/>
      <c r="D69" s="30"/>
    </row>
    <row r="70" spans="1:17" s="29" customFormat="1" ht="12.75" customHeight="1">
      <c r="C70" s="30"/>
      <c r="D70" s="30"/>
    </row>
    <row r="71" spans="1:17" s="29" customFormat="1" ht="12.75" customHeight="1">
      <c r="C71" s="30"/>
      <c r="D71" s="30"/>
    </row>
    <row r="72" spans="1:17" s="29" customFormat="1" ht="12.75" customHeight="1">
      <c r="C72" s="30"/>
      <c r="D72" s="30"/>
    </row>
    <row r="73" spans="1:17" s="29" customFormat="1" ht="12.75" customHeight="1">
      <c r="C73" s="30"/>
      <c r="D73" s="30"/>
    </row>
    <row r="74" spans="1:17" s="29" customFormat="1" ht="12.75" customHeight="1">
      <c r="C74" s="30"/>
      <c r="D74" s="30"/>
    </row>
    <row r="75" spans="1:17" s="29" customFormat="1" ht="12.75" customHeight="1">
      <c r="C75" s="30"/>
      <c r="D75" s="30"/>
    </row>
    <row r="76" spans="1:17" s="29" customFormat="1" ht="12.75" customHeight="1">
      <c r="C76" s="30"/>
      <c r="D76" s="30"/>
    </row>
    <row r="77" spans="1:17" s="29" customFormat="1" ht="12.75" customHeight="1">
      <c r="C77" s="30"/>
      <c r="D77" s="30"/>
    </row>
    <row r="78" spans="1:17" s="29" customFormat="1" ht="12.75" customHeight="1">
      <c r="C78" s="30"/>
      <c r="D78" s="30"/>
    </row>
    <row r="79" spans="1:17" s="29" customFormat="1" ht="12.75" customHeight="1">
      <c r="C79" s="30"/>
      <c r="D79" s="30"/>
    </row>
    <row r="80" spans="1:17" s="29" customFormat="1" ht="12.75" customHeight="1">
      <c r="C80" s="30"/>
      <c r="D80" s="30"/>
    </row>
    <row r="81" spans="3:4" s="29" customFormat="1" ht="12.75" customHeight="1">
      <c r="C81" s="30"/>
      <c r="D81" s="30"/>
    </row>
    <row r="82" spans="3:4" s="29" customFormat="1" ht="12.75" customHeight="1">
      <c r="C82" s="30"/>
      <c r="D82" s="30"/>
    </row>
    <row r="83" spans="3:4" s="29" customFormat="1" ht="12.75" customHeight="1">
      <c r="C83" s="30"/>
      <c r="D83" s="30"/>
    </row>
    <row r="84" spans="3:4" s="29" customFormat="1" ht="12.75" customHeight="1">
      <c r="C84" s="30"/>
      <c r="D84" s="30"/>
    </row>
    <row r="85" spans="3:4" s="29" customFormat="1" ht="12.75" customHeight="1">
      <c r="C85" s="30"/>
      <c r="D85" s="30"/>
    </row>
    <row r="86" spans="3:4" s="29" customFormat="1" ht="12.75" customHeight="1">
      <c r="C86" s="30"/>
      <c r="D86" s="30"/>
    </row>
    <row r="87" spans="3:4" s="29" customFormat="1" ht="12.75" customHeight="1">
      <c r="C87" s="30"/>
      <c r="D87" s="30"/>
    </row>
    <row r="88" spans="3:4" s="29" customFormat="1" ht="12.75" customHeight="1">
      <c r="C88" s="30"/>
      <c r="D88" s="30"/>
    </row>
    <row r="89" spans="3:4" s="29" customFormat="1" ht="12.75" customHeight="1">
      <c r="C89" s="30"/>
      <c r="D89" s="30"/>
    </row>
    <row r="90" spans="3:4" s="29" customFormat="1" ht="12.75" customHeight="1">
      <c r="C90" s="30"/>
      <c r="D90" s="30"/>
    </row>
    <row r="91" spans="3:4" s="29" customFormat="1" ht="12.75" customHeight="1">
      <c r="C91" s="30"/>
      <c r="D91" s="30"/>
    </row>
    <row r="92" spans="3:4" s="29" customFormat="1" ht="12.75" customHeight="1">
      <c r="C92" s="30"/>
      <c r="D92" s="30"/>
    </row>
    <row r="93" spans="3:4" s="29" customFormat="1" ht="12.75" customHeight="1">
      <c r="C93" s="30"/>
      <c r="D93" s="30"/>
    </row>
    <row r="94" spans="3:4" s="29" customFormat="1" ht="12.75" customHeight="1">
      <c r="C94" s="30"/>
      <c r="D94" s="30"/>
    </row>
    <row r="95" spans="3:4" s="29" customFormat="1" ht="12.75" customHeight="1">
      <c r="C95" s="30"/>
      <c r="D95" s="30"/>
    </row>
    <row r="96" spans="3:4" s="29" customFormat="1" ht="12.75" customHeight="1">
      <c r="C96" s="30"/>
      <c r="D96" s="30"/>
    </row>
    <row r="97" spans="3:4" s="29" customFormat="1" ht="12.75" customHeight="1">
      <c r="C97" s="30"/>
      <c r="D97" s="30"/>
    </row>
    <row r="98" spans="3:4" s="29" customFormat="1" ht="12.75" customHeight="1">
      <c r="C98" s="30"/>
      <c r="D98" s="30"/>
    </row>
    <row r="99" spans="3:4" s="29" customFormat="1" ht="12.75" customHeight="1">
      <c r="C99" s="30"/>
      <c r="D99" s="30"/>
    </row>
    <row r="100" spans="3:4" s="29" customFormat="1" ht="12.75" customHeight="1">
      <c r="C100" s="30"/>
      <c r="D100" s="30"/>
    </row>
    <row r="101" spans="3:4" s="29" customFormat="1" ht="12.75" customHeight="1">
      <c r="C101" s="30"/>
      <c r="D101" s="30"/>
    </row>
    <row r="102" spans="3:4" s="29" customFormat="1" ht="12.75" customHeight="1">
      <c r="C102" s="30"/>
      <c r="D102" s="30"/>
    </row>
    <row r="103" spans="3:4" s="29" customFormat="1" ht="12.75" customHeight="1">
      <c r="C103" s="30"/>
      <c r="D103" s="30"/>
    </row>
    <row r="104" spans="3:4" s="29" customFormat="1" ht="12.75" customHeight="1">
      <c r="C104" s="30"/>
      <c r="D104" s="30"/>
    </row>
    <row r="105" spans="3:4" s="29" customFormat="1" ht="12.75" customHeight="1">
      <c r="C105" s="30"/>
      <c r="D105" s="30"/>
    </row>
    <row r="106" spans="3:4" s="29" customFormat="1" ht="12.75" customHeight="1">
      <c r="C106" s="30"/>
      <c r="D106" s="30"/>
    </row>
    <row r="107" spans="3:4" s="29" customFormat="1" ht="12.75" customHeight="1">
      <c r="C107" s="30"/>
      <c r="D107" s="3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</sheetData>
  <phoneticPr fontId="7" type="noConversion"/>
  <hyperlinks>
    <hyperlink ref="H64442" r:id="rId1" display="http://vsolj.cetus-net.org/bulletin.html"/>
    <hyperlink ref="H64435" r:id="rId2" display="https://www.aavso.org/ejaavso"/>
    <hyperlink ref="AP586" r:id="rId3" display="http://cdsbib.u-strasbg.fr/cgi-bin/cdsbib?1990RMxAA..21..381G"/>
    <hyperlink ref="AP590" r:id="rId4" display="http://cdsbib.u-strasbg.fr/cgi-bin/cdsbib?1990RMxAA..21..381G"/>
    <hyperlink ref="AP589" r:id="rId5" display="http://cdsbib.u-strasbg.fr/cgi-bin/cdsbib?1990RMxAA..21..381G"/>
    <hyperlink ref="AP570" r:id="rId6" display="http://cdsbib.u-strasbg.fr/cgi-bin/cdsbib?1990RMxAA..21..381G"/>
    <hyperlink ref="I64442" r:id="rId7" display="http://vsolj.cetus-net.org/bulletin.html"/>
    <hyperlink ref="AQ726" r:id="rId8" display="http://cdsbib.u-strasbg.fr/cgi-bin/cdsbib?1990RMxAA..21..381G"/>
    <hyperlink ref="AQ55492" r:id="rId9" display="http://cdsbib.u-strasbg.fr/cgi-bin/cdsbib?1990RMxAA..21..381G"/>
    <hyperlink ref="AQ727" r:id="rId10" display="http://cdsbib.u-strasbg.fr/cgi-bin/cdsbib?1990RMxAA..21..381G"/>
    <hyperlink ref="H64439" r:id="rId11" display="https://www.aavso.org/ejaavso"/>
    <hyperlink ref="H1612" r:id="rId12" display="http://vsolj.cetus-net.org/bulletin.html"/>
    <hyperlink ref="AP2856" r:id="rId13" display="http://cdsbib.u-strasbg.fr/cgi-bin/cdsbib?1990RMxAA..21..381G"/>
    <hyperlink ref="AP2859" r:id="rId14" display="http://cdsbib.u-strasbg.fr/cgi-bin/cdsbib?1990RMxAA..21..381G"/>
    <hyperlink ref="AP2857" r:id="rId15" display="http://cdsbib.u-strasbg.fr/cgi-bin/cdsbib?1990RMxAA..21..381G"/>
    <hyperlink ref="AP2841" r:id="rId16" display="http://cdsbib.u-strasbg.fr/cgi-bin/cdsbib?1990RMxAA..21..381G"/>
    <hyperlink ref="I1612" r:id="rId17" display="http://vsolj.cetus-net.org/bulletin.html"/>
    <hyperlink ref="AQ3070" r:id="rId18" display="http://cdsbib.u-strasbg.fr/cgi-bin/cdsbib?1990RMxAA..21..381G"/>
    <hyperlink ref="AQ65307" r:id="rId19" display="http://cdsbib.u-strasbg.fr/cgi-bin/cdsbib?1990RMxAA..21..381G"/>
    <hyperlink ref="AQ307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3"/>
  <sheetViews>
    <sheetView topLeftCell="A16" workbookViewId="0">
      <selection activeCell="A40" sqref="A40:D54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9" t="s">
        <v>77</v>
      </c>
      <c r="I1" s="40" t="s">
        <v>78</v>
      </c>
      <c r="J1" s="41" t="s">
        <v>79</v>
      </c>
    </row>
    <row r="2" spans="1:16">
      <c r="I2" s="42" t="s">
        <v>80</v>
      </c>
      <c r="J2" s="43" t="s">
        <v>81</v>
      </c>
    </row>
    <row r="3" spans="1:16">
      <c r="A3" s="44" t="s">
        <v>82</v>
      </c>
      <c r="I3" s="42" t="s">
        <v>83</v>
      </c>
      <c r="J3" s="43" t="s">
        <v>84</v>
      </c>
    </row>
    <row r="4" spans="1:16">
      <c r="I4" s="42" t="s">
        <v>85</v>
      </c>
      <c r="J4" s="43" t="s">
        <v>84</v>
      </c>
    </row>
    <row r="5" spans="1:16" ht="13.5" thickBot="1">
      <c r="I5" s="45" t="s">
        <v>86</v>
      </c>
      <c r="J5" s="46" t="s">
        <v>87</v>
      </c>
    </row>
    <row r="10" spans="1:16" ht="13.5" thickBot="1"/>
    <row r="11" spans="1:16" ht="12.75" customHeight="1" thickBot="1">
      <c r="A11" s="10" t="str">
        <f t="shared" ref="A11:A54" si="0">P11</f>
        <v> AAC 3.67 </v>
      </c>
      <c r="B11" s="15" t="str">
        <f t="shared" ref="B11:B54" si="1">IF(H11=INT(H11),"I","II")</f>
        <v>I</v>
      </c>
      <c r="C11" s="10">
        <f t="shared" ref="C11:C54" si="2">1*G11</f>
        <v>28309.294000000002</v>
      </c>
      <c r="D11" s="12" t="str">
        <f t="shared" ref="D11:D54" si="3">VLOOKUP(F11,I$1:J$5,2,FALSE)</f>
        <v>vis</v>
      </c>
      <c r="E11" s="47">
        <f>VLOOKUP(C11,Active!C$21:E$973,3,FALSE)</f>
        <v>0</v>
      </c>
      <c r="F11" s="15" t="s">
        <v>86</v>
      </c>
      <c r="G11" s="12" t="str">
        <f t="shared" ref="G11:G54" si="4">MID(I11,3,LEN(I11)-3)</f>
        <v>28309.294</v>
      </c>
      <c r="H11" s="10">
        <f t="shared" ref="H11:H54" si="5">1*K11</f>
        <v>0</v>
      </c>
      <c r="I11" s="48" t="s">
        <v>103</v>
      </c>
      <c r="J11" s="49" t="s">
        <v>104</v>
      </c>
      <c r="K11" s="48">
        <v>0</v>
      </c>
      <c r="L11" s="48" t="s">
        <v>105</v>
      </c>
      <c r="M11" s="49" t="s">
        <v>106</v>
      </c>
      <c r="N11" s="49"/>
      <c r="O11" s="50" t="s">
        <v>107</v>
      </c>
      <c r="P11" s="50" t="s">
        <v>108</v>
      </c>
    </row>
    <row r="12" spans="1:16" ht="12.75" customHeight="1" thickBot="1">
      <c r="A12" s="10" t="str">
        <f t="shared" si="0"/>
        <v> ORI 126 </v>
      </c>
      <c r="B12" s="15" t="str">
        <f t="shared" si="1"/>
        <v>I</v>
      </c>
      <c r="C12" s="10">
        <f t="shared" si="2"/>
        <v>41165.410000000003</v>
      </c>
      <c r="D12" s="12" t="str">
        <f t="shared" si="3"/>
        <v>vis</v>
      </c>
      <c r="E12" s="47">
        <f>VLOOKUP(C12,Active!C$21:E$973,3,FALSE)</f>
        <v>4776.9877306540438</v>
      </c>
      <c r="F12" s="15" t="s">
        <v>86</v>
      </c>
      <c r="G12" s="12" t="str">
        <f t="shared" si="4"/>
        <v>41165.410</v>
      </c>
      <c r="H12" s="10">
        <f t="shared" si="5"/>
        <v>4777</v>
      </c>
      <c r="I12" s="48" t="s">
        <v>146</v>
      </c>
      <c r="J12" s="49" t="s">
        <v>147</v>
      </c>
      <c r="K12" s="48">
        <v>4777</v>
      </c>
      <c r="L12" s="48" t="s">
        <v>148</v>
      </c>
      <c r="M12" s="49" t="s">
        <v>106</v>
      </c>
      <c r="N12" s="49"/>
      <c r="O12" s="50" t="s">
        <v>149</v>
      </c>
      <c r="P12" s="50" t="s">
        <v>150</v>
      </c>
    </row>
    <row r="13" spans="1:16" ht="12.75" customHeight="1" thickBot="1">
      <c r="A13" s="10" t="str">
        <f t="shared" si="0"/>
        <v> BRNO 14 </v>
      </c>
      <c r="B13" s="15" t="str">
        <f t="shared" si="1"/>
        <v>I</v>
      </c>
      <c r="C13" s="10">
        <f t="shared" si="2"/>
        <v>41308.232000000004</v>
      </c>
      <c r="D13" s="12" t="str">
        <f t="shared" si="3"/>
        <v>vis</v>
      </c>
      <c r="E13" s="47">
        <f>VLOOKUP(C13,Active!C$21:E$973,3,FALSE)</f>
        <v>4830.0565534359375</v>
      </c>
      <c r="F13" s="15" t="s">
        <v>86</v>
      </c>
      <c r="G13" s="12" t="str">
        <f t="shared" si="4"/>
        <v>41308.232</v>
      </c>
      <c r="H13" s="10">
        <f t="shared" si="5"/>
        <v>4830</v>
      </c>
      <c r="I13" s="48" t="s">
        <v>151</v>
      </c>
      <c r="J13" s="49" t="s">
        <v>152</v>
      </c>
      <c r="K13" s="48">
        <v>4830</v>
      </c>
      <c r="L13" s="48" t="s">
        <v>153</v>
      </c>
      <c r="M13" s="49" t="s">
        <v>106</v>
      </c>
      <c r="N13" s="49"/>
      <c r="O13" s="50" t="s">
        <v>154</v>
      </c>
      <c r="P13" s="50" t="s">
        <v>155</v>
      </c>
    </row>
    <row r="14" spans="1:16" ht="12.75" customHeight="1" thickBot="1">
      <c r="A14" s="10" t="str">
        <f t="shared" si="0"/>
        <v> BRNO 17 </v>
      </c>
      <c r="B14" s="15" t="str">
        <f t="shared" si="1"/>
        <v>I</v>
      </c>
      <c r="C14" s="10">
        <f t="shared" si="2"/>
        <v>41515.425000000003</v>
      </c>
      <c r="D14" s="12" t="str">
        <f t="shared" si="3"/>
        <v>vis</v>
      </c>
      <c r="E14" s="47">
        <f>VLOOKUP(C14,Active!C$21:E$973,3,FALSE)</f>
        <v>4907.0439125168141</v>
      </c>
      <c r="F14" s="15" t="s">
        <v>86</v>
      </c>
      <c r="G14" s="12" t="str">
        <f t="shared" si="4"/>
        <v>41515.425</v>
      </c>
      <c r="H14" s="10">
        <f t="shared" si="5"/>
        <v>4907</v>
      </c>
      <c r="I14" s="48" t="s">
        <v>156</v>
      </c>
      <c r="J14" s="49" t="s">
        <v>157</v>
      </c>
      <c r="K14" s="48">
        <v>4907</v>
      </c>
      <c r="L14" s="48" t="s">
        <v>158</v>
      </c>
      <c r="M14" s="49" t="s">
        <v>106</v>
      </c>
      <c r="N14" s="49"/>
      <c r="O14" s="50" t="s">
        <v>159</v>
      </c>
      <c r="P14" s="50" t="s">
        <v>160</v>
      </c>
    </row>
    <row r="15" spans="1:16" ht="12.75" customHeight="1" thickBot="1">
      <c r="A15" s="10" t="str">
        <f t="shared" si="0"/>
        <v> BRNO 17 </v>
      </c>
      <c r="B15" s="15" t="str">
        <f t="shared" si="1"/>
        <v>I</v>
      </c>
      <c r="C15" s="10">
        <f t="shared" si="2"/>
        <v>41811.444000000003</v>
      </c>
      <c r="D15" s="12" t="str">
        <f t="shared" si="3"/>
        <v>vis</v>
      </c>
      <c r="E15" s="47">
        <f>VLOOKUP(C15,Active!C$21:E$973,3,FALSE)</f>
        <v>5017.0366296827506</v>
      </c>
      <c r="F15" s="15" t="s">
        <v>86</v>
      </c>
      <c r="G15" s="12" t="str">
        <f t="shared" si="4"/>
        <v>41811.444</v>
      </c>
      <c r="H15" s="10">
        <f t="shared" si="5"/>
        <v>5017</v>
      </c>
      <c r="I15" s="48" t="s">
        <v>161</v>
      </c>
      <c r="J15" s="49" t="s">
        <v>162</v>
      </c>
      <c r="K15" s="48">
        <v>5017</v>
      </c>
      <c r="L15" s="48" t="s">
        <v>163</v>
      </c>
      <c r="M15" s="49" t="s">
        <v>106</v>
      </c>
      <c r="N15" s="49"/>
      <c r="O15" s="50" t="s">
        <v>159</v>
      </c>
      <c r="P15" s="50" t="s">
        <v>160</v>
      </c>
    </row>
    <row r="16" spans="1:16" ht="12.75" customHeight="1" thickBot="1">
      <c r="A16" s="10" t="str">
        <f t="shared" si="0"/>
        <v> BBS 9 </v>
      </c>
      <c r="B16" s="15" t="str">
        <f t="shared" si="1"/>
        <v>I</v>
      </c>
      <c r="C16" s="10">
        <f t="shared" si="2"/>
        <v>41819.430999999997</v>
      </c>
      <c r="D16" s="12" t="str">
        <f t="shared" si="3"/>
        <v>vis</v>
      </c>
      <c r="E16" s="47">
        <f>VLOOKUP(C16,Active!C$21:E$973,3,FALSE)</f>
        <v>5020.0043845633618</v>
      </c>
      <c r="F16" s="15" t="s">
        <v>86</v>
      </c>
      <c r="G16" s="12" t="str">
        <f t="shared" si="4"/>
        <v>41819.431</v>
      </c>
      <c r="H16" s="10">
        <f t="shared" si="5"/>
        <v>5020</v>
      </c>
      <c r="I16" s="48" t="s">
        <v>164</v>
      </c>
      <c r="J16" s="49" t="s">
        <v>165</v>
      </c>
      <c r="K16" s="48">
        <v>5020</v>
      </c>
      <c r="L16" s="48" t="s">
        <v>166</v>
      </c>
      <c r="M16" s="49" t="s">
        <v>106</v>
      </c>
      <c r="N16" s="49"/>
      <c r="O16" s="50" t="s">
        <v>167</v>
      </c>
      <c r="P16" s="50" t="s">
        <v>168</v>
      </c>
    </row>
    <row r="17" spans="1:16" ht="12.75" customHeight="1" thickBot="1">
      <c r="A17" s="10" t="str">
        <f t="shared" si="0"/>
        <v> BBS 23 </v>
      </c>
      <c r="B17" s="15" t="str">
        <f t="shared" si="1"/>
        <v>I</v>
      </c>
      <c r="C17" s="10">
        <f t="shared" si="2"/>
        <v>42621.394999999997</v>
      </c>
      <c r="D17" s="12" t="str">
        <f t="shared" si="3"/>
        <v>vis</v>
      </c>
      <c r="E17" s="47">
        <f>VLOOKUP(C17,Active!C$21:E$973,3,FALSE)</f>
        <v>5317.9926874400817</v>
      </c>
      <c r="F17" s="15" t="s">
        <v>86</v>
      </c>
      <c r="G17" s="12" t="str">
        <f t="shared" si="4"/>
        <v>42621.395</v>
      </c>
      <c r="H17" s="10">
        <f t="shared" si="5"/>
        <v>5318</v>
      </c>
      <c r="I17" s="48" t="s">
        <v>169</v>
      </c>
      <c r="J17" s="49" t="s">
        <v>170</v>
      </c>
      <c r="K17" s="48">
        <v>5318</v>
      </c>
      <c r="L17" s="48" t="s">
        <v>171</v>
      </c>
      <c r="M17" s="49" t="s">
        <v>106</v>
      </c>
      <c r="N17" s="49"/>
      <c r="O17" s="50" t="s">
        <v>149</v>
      </c>
      <c r="P17" s="50" t="s">
        <v>172</v>
      </c>
    </row>
    <row r="18" spans="1:16" ht="12.75" customHeight="1" thickBot="1">
      <c r="A18" s="10" t="str">
        <f t="shared" si="0"/>
        <v> BRNO 23 </v>
      </c>
      <c r="B18" s="15" t="str">
        <f t="shared" si="1"/>
        <v>I</v>
      </c>
      <c r="C18" s="10">
        <f t="shared" si="2"/>
        <v>44085.455999999998</v>
      </c>
      <c r="D18" s="12" t="str">
        <f t="shared" si="3"/>
        <v>vis</v>
      </c>
      <c r="E18" s="47">
        <f>VLOOKUP(C18,Active!C$21:E$973,3,FALSE)</f>
        <v>5861.9984691185527</v>
      </c>
      <c r="F18" s="15" t="s">
        <v>86</v>
      </c>
      <c r="G18" s="12" t="str">
        <f t="shared" si="4"/>
        <v>44085.456</v>
      </c>
      <c r="H18" s="10">
        <f t="shared" si="5"/>
        <v>5862</v>
      </c>
      <c r="I18" s="48" t="s">
        <v>173</v>
      </c>
      <c r="J18" s="49" t="s">
        <v>174</v>
      </c>
      <c r="K18" s="48">
        <v>5862</v>
      </c>
      <c r="L18" s="48" t="s">
        <v>175</v>
      </c>
      <c r="M18" s="49" t="s">
        <v>106</v>
      </c>
      <c r="N18" s="49"/>
      <c r="O18" s="50" t="s">
        <v>176</v>
      </c>
      <c r="P18" s="50" t="s">
        <v>177</v>
      </c>
    </row>
    <row r="19" spans="1:16" ht="12.75" customHeight="1" thickBot="1">
      <c r="A19" s="10" t="str">
        <f t="shared" si="0"/>
        <v> BRNO 27 </v>
      </c>
      <c r="B19" s="15" t="str">
        <f t="shared" si="1"/>
        <v>I</v>
      </c>
      <c r="C19" s="10">
        <f t="shared" si="2"/>
        <v>46249.379000000001</v>
      </c>
      <c r="D19" s="12" t="str">
        <f t="shared" si="3"/>
        <v>vis</v>
      </c>
      <c r="E19" s="47">
        <f>VLOOKUP(C19,Active!C$21:E$973,3,FALSE)</f>
        <v>6666.0541902305977</v>
      </c>
      <c r="F19" s="15" t="s">
        <v>86</v>
      </c>
      <c r="G19" s="12" t="str">
        <f t="shared" si="4"/>
        <v>46249.379</v>
      </c>
      <c r="H19" s="10">
        <f t="shared" si="5"/>
        <v>6666</v>
      </c>
      <c r="I19" s="48" t="s">
        <v>178</v>
      </c>
      <c r="J19" s="49" t="s">
        <v>179</v>
      </c>
      <c r="K19" s="48">
        <v>6666</v>
      </c>
      <c r="L19" s="48" t="s">
        <v>180</v>
      </c>
      <c r="M19" s="49" t="s">
        <v>106</v>
      </c>
      <c r="N19" s="49"/>
      <c r="O19" s="50" t="s">
        <v>154</v>
      </c>
      <c r="P19" s="50" t="s">
        <v>181</v>
      </c>
    </row>
    <row r="20" spans="1:16" ht="12.75" customHeight="1" thickBot="1">
      <c r="A20" s="10" t="str">
        <f t="shared" si="0"/>
        <v> BBS 81 </v>
      </c>
      <c r="B20" s="15" t="str">
        <f t="shared" si="1"/>
        <v>I</v>
      </c>
      <c r="C20" s="10">
        <f t="shared" si="2"/>
        <v>46642.286999999997</v>
      </c>
      <c r="D20" s="12" t="str">
        <f t="shared" si="3"/>
        <v>vis</v>
      </c>
      <c r="E20" s="47">
        <f>VLOOKUP(C20,Active!C$21:E$973,3,FALSE)</f>
        <v>6812.048259922859</v>
      </c>
      <c r="F20" s="15" t="s">
        <v>86</v>
      </c>
      <c r="G20" s="12" t="str">
        <f t="shared" si="4"/>
        <v>46642.287</v>
      </c>
      <c r="H20" s="10">
        <f t="shared" si="5"/>
        <v>6812</v>
      </c>
      <c r="I20" s="48" t="s">
        <v>182</v>
      </c>
      <c r="J20" s="49" t="s">
        <v>183</v>
      </c>
      <c r="K20" s="48">
        <v>6812</v>
      </c>
      <c r="L20" s="48" t="s">
        <v>184</v>
      </c>
      <c r="M20" s="49" t="s">
        <v>106</v>
      </c>
      <c r="N20" s="49"/>
      <c r="O20" s="50" t="s">
        <v>185</v>
      </c>
      <c r="P20" s="50" t="s">
        <v>186</v>
      </c>
    </row>
    <row r="21" spans="1:16" ht="12.75" customHeight="1" thickBot="1">
      <c r="A21" s="10" t="str">
        <f t="shared" si="0"/>
        <v> BBS 92 </v>
      </c>
      <c r="B21" s="15" t="str">
        <f t="shared" si="1"/>
        <v>I</v>
      </c>
      <c r="C21" s="10">
        <f t="shared" si="2"/>
        <v>47713.468000000001</v>
      </c>
      <c r="D21" s="12" t="str">
        <f t="shared" si="3"/>
        <v>vis</v>
      </c>
      <c r="E21" s="47">
        <f>VLOOKUP(C21,Active!C$21:E$973,3,FALSE)</f>
        <v>7210.0703759577291</v>
      </c>
      <c r="F21" s="15" t="s">
        <v>86</v>
      </c>
      <c r="G21" s="12" t="str">
        <f t="shared" si="4"/>
        <v>47713.468</v>
      </c>
      <c r="H21" s="10">
        <f t="shared" si="5"/>
        <v>7210</v>
      </c>
      <c r="I21" s="48" t="s">
        <v>187</v>
      </c>
      <c r="J21" s="49" t="s">
        <v>188</v>
      </c>
      <c r="K21" s="48">
        <v>7210</v>
      </c>
      <c r="L21" s="48" t="s">
        <v>189</v>
      </c>
      <c r="M21" s="49" t="s">
        <v>106</v>
      </c>
      <c r="N21" s="49"/>
      <c r="O21" s="50" t="s">
        <v>190</v>
      </c>
      <c r="P21" s="50" t="s">
        <v>191</v>
      </c>
    </row>
    <row r="22" spans="1:16" ht="12.75" customHeight="1" thickBot="1">
      <c r="A22" s="10" t="str">
        <f t="shared" si="0"/>
        <v> BBS 92 </v>
      </c>
      <c r="B22" s="15" t="str">
        <f t="shared" si="1"/>
        <v>I</v>
      </c>
      <c r="C22" s="10">
        <f t="shared" si="2"/>
        <v>47748.415000000001</v>
      </c>
      <c r="D22" s="12" t="str">
        <f t="shared" si="3"/>
        <v>vis</v>
      </c>
      <c r="E22" s="47">
        <f>VLOOKUP(C22,Active!C$21:E$973,3,FALSE)</f>
        <v>7223.0557434064331</v>
      </c>
      <c r="F22" s="15" t="s">
        <v>86</v>
      </c>
      <c r="G22" s="12" t="str">
        <f t="shared" si="4"/>
        <v>47748.415</v>
      </c>
      <c r="H22" s="10">
        <f t="shared" si="5"/>
        <v>7223</v>
      </c>
      <c r="I22" s="48" t="s">
        <v>192</v>
      </c>
      <c r="J22" s="49" t="s">
        <v>193</v>
      </c>
      <c r="K22" s="48">
        <v>7223</v>
      </c>
      <c r="L22" s="48" t="s">
        <v>194</v>
      </c>
      <c r="M22" s="49" t="s">
        <v>106</v>
      </c>
      <c r="N22" s="49"/>
      <c r="O22" s="50" t="s">
        <v>190</v>
      </c>
      <c r="P22" s="50" t="s">
        <v>191</v>
      </c>
    </row>
    <row r="23" spans="1:16" ht="12.75" customHeight="1" thickBot="1">
      <c r="A23" s="10" t="str">
        <f t="shared" si="0"/>
        <v> BBS 93 </v>
      </c>
      <c r="B23" s="15" t="str">
        <f t="shared" si="1"/>
        <v>I</v>
      </c>
      <c r="C23" s="10">
        <f t="shared" si="2"/>
        <v>47775.309000000001</v>
      </c>
      <c r="D23" s="12" t="str">
        <f t="shared" si="3"/>
        <v>vis</v>
      </c>
      <c r="E23" s="47">
        <f>VLOOKUP(C23,Active!C$21:E$973,3,FALSE)</f>
        <v>7233.0488321455368</v>
      </c>
      <c r="F23" s="15" t="s">
        <v>86</v>
      </c>
      <c r="G23" s="12" t="str">
        <f t="shared" si="4"/>
        <v>47775.309</v>
      </c>
      <c r="H23" s="10">
        <f t="shared" si="5"/>
        <v>7233</v>
      </c>
      <c r="I23" s="48" t="s">
        <v>195</v>
      </c>
      <c r="J23" s="49" t="s">
        <v>196</v>
      </c>
      <c r="K23" s="48">
        <v>7233</v>
      </c>
      <c r="L23" s="48" t="s">
        <v>197</v>
      </c>
      <c r="M23" s="49" t="s">
        <v>106</v>
      </c>
      <c r="N23" s="49"/>
      <c r="O23" s="50" t="s">
        <v>198</v>
      </c>
      <c r="P23" s="50" t="s">
        <v>199</v>
      </c>
    </row>
    <row r="24" spans="1:16" ht="12.75" customHeight="1" thickBot="1">
      <c r="A24" s="10" t="str">
        <f t="shared" si="0"/>
        <v> BBS 96 </v>
      </c>
      <c r="B24" s="15" t="str">
        <f t="shared" si="1"/>
        <v>I</v>
      </c>
      <c r="C24" s="10">
        <f t="shared" si="2"/>
        <v>48114.425999999999</v>
      </c>
      <c r="D24" s="12" t="str">
        <f t="shared" si="3"/>
        <v>vis</v>
      </c>
      <c r="E24" s="47">
        <f>VLOOKUP(C24,Active!C$21:E$973,3,FALSE)</f>
        <v>7359.0556096400933</v>
      </c>
      <c r="F24" s="15" t="s">
        <v>86</v>
      </c>
      <c r="G24" s="12" t="str">
        <f t="shared" si="4"/>
        <v>48114.426</v>
      </c>
      <c r="H24" s="10">
        <f t="shared" si="5"/>
        <v>7359</v>
      </c>
      <c r="I24" s="48" t="s">
        <v>200</v>
      </c>
      <c r="J24" s="49" t="s">
        <v>201</v>
      </c>
      <c r="K24" s="48">
        <v>7359</v>
      </c>
      <c r="L24" s="48" t="s">
        <v>194</v>
      </c>
      <c r="M24" s="49" t="s">
        <v>106</v>
      </c>
      <c r="N24" s="49"/>
      <c r="O24" s="50" t="s">
        <v>190</v>
      </c>
      <c r="P24" s="50" t="s">
        <v>202</v>
      </c>
    </row>
    <row r="25" spans="1:16" ht="12.75" customHeight="1" thickBot="1">
      <c r="A25" s="10" t="str">
        <f t="shared" si="0"/>
        <v> BBS 98 </v>
      </c>
      <c r="B25" s="15" t="str">
        <f t="shared" si="1"/>
        <v>I</v>
      </c>
      <c r="C25" s="10">
        <f t="shared" si="2"/>
        <v>48480.419000000002</v>
      </c>
      <c r="D25" s="12" t="str">
        <f t="shared" si="3"/>
        <v>vis</v>
      </c>
      <c r="E25" s="47">
        <f>VLOOKUP(C25,Active!C$21:E$973,3,FALSE)</f>
        <v>7495.0487875567569</v>
      </c>
      <c r="F25" s="15" t="s">
        <v>86</v>
      </c>
      <c r="G25" s="12" t="str">
        <f t="shared" si="4"/>
        <v>48480.419</v>
      </c>
      <c r="H25" s="10">
        <f t="shared" si="5"/>
        <v>7495</v>
      </c>
      <c r="I25" s="48" t="s">
        <v>203</v>
      </c>
      <c r="J25" s="49" t="s">
        <v>204</v>
      </c>
      <c r="K25" s="48">
        <v>7495</v>
      </c>
      <c r="L25" s="48" t="s">
        <v>197</v>
      </c>
      <c r="M25" s="49" t="s">
        <v>106</v>
      </c>
      <c r="N25" s="49"/>
      <c r="O25" s="50" t="s">
        <v>190</v>
      </c>
      <c r="P25" s="50" t="s">
        <v>205</v>
      </c>
    </row>
    <row r="26" spans="1:16" ht="12.75" customHeight="1" thickBot="1">
      <c r="A26" s="10" t="str">
        <f t="shared" si="0"/>
        <v> BBS 99 </v>
      </c>
      <c r="B26" s="15" t="str">
        <f t="shared" si="1"/>
        <v>I</v>
      </c>
      <c r="C26" s="10">
        <f t="shared" si="2"/>
        <v>48507.334999999999</v>
      </c>
      <c r="D26" s="12" t="str">
        <f t="shared" si="3"/>
        <v>vis</v>
      </c>
      <c r="E26" s="47">
        <f>VLOOKUP(C26,Active!C$21:E$973,3,FALSE)</f>
        <v>7505.0500509055219</v>
      </c>
      <c r="F26" s="15" t="s">
        <v>86</v>
      </c>
      <c r="G26" s="12" t="str">
        <f t="shared" si="4"/>
        <v>48507.335</v>
      </c>
      <c r="H26" s="10">
        <f t="shared" si="5"/>
        <v>7505</v>
      </c>
      <c r="I26" s="48" t="s">
        <v>206</v>
      </c>
      <c r="J26" s="49" t="s">
        <v>207</v>
      </c>
      <c r="K26" s="48">
        <v>7505</v>
      </c>
      <c r="L26" s="48" t="s">
        <v>208</v>
      </c>
      <c r="M26" s="49" t="s">
        <v>106</v>
      </c>
      <c r="N26" s="49"/>
      <c r="O26" s="50" t="s">
        <v>190</v>
      </c>
      <c r="P26" s="50" t="s">
        <v>209</v>
      </c>
    </row>
    <row r="27" spans="1:16" ht="12.75" customHeight="1" thickBot="1">
      <c r="A27" s="10" t="str">
        <f t="shared" si="0"/>
        <v>BAVM 62 </v>
      </c>
      <c r="B27" s="15" t="str">
        <f t="shared" si="1"/>
        <v>I</v>
      </c>
      <c r="C27" s="10">
        <f t="shared" si="2"/>
        <v>49045.570599999999</v>
      </c>
      <c r="D27" s="12" t="str">
        <f t="shared" si="3"/>
        <v>vis</v>
      </c>
      <c r="E27" s="47">
        <f>VLOOKUP(C27,Active!C$21:E$973,3,FALSE)</f>
        <v>7705.0439571055922</v>
      </c>
      <c r="F27" s="15" t="s">
        <v>86</v>
      </c>
      <c r="G27" s="12" t="str">
        <f t="shared" si="4"/>
        <v>49045.5706</v>
      </c>
      <c r="H27" s="10">
        <f t="shared" si="5"/>
        <v>7705</v>
      </c>
      <c r="I27" s="48" t="s">
        <v>210</v>
      </c>
      <c r="J27" s="49" t="s">
        <v>211</v>
      </c>
      <c r="K27" s="48">
        <v>7705</v>
      </c>
      <c r="L27" s="48" t="s">
        <v>212</v>
      </c>
      <c r="M27" s="49" t="s">
        <v>213</v>
      </c>
      <c r="N27" s="49" t="s">
        <v>214</v>
      </c>
      <c r="O27" s="50" t="s">
        <v>215</v>
      </c>
      <c r="P27" s="51" t="s">
        <v>216</v>
      </c>
    </row>
    <row r="28" spans="1:16" ht="12.75" customHeight="1" thickBot="1">
      <c r="A28" s="10" t="str">
        <f t="shared" si="0"/>
        <v>BAVM 62 </v>
      </c>
      <c r="B28" s="15" t="str">
        <f t="shared" si="1"/>
        <v>I</v>
      </c>
      <c r="C28" s="10">
        <f t="shared" si="2"/>
        <v>49045.571600000003</v>
      </c>
      <c r="D28" s="12" t="str">
        <f t="shared" si="3"/>
        <v>vis</v>
      </c>
      <c r="E28" s="47">
        <f>VLOOKUP(C28,Active!C$21:E$973,3,FALSE)</f>
        <v>7705.0443286787604</v>
      </c>
      <c r="F28" s="15" t="s">
        <v>86</v>
      </c>
      <c r="G28" s="12" t="str">
        <f t="shared" si="4"/>
        <v>49045.5716</v>
      </c>
      <c r="H28" s="10">
        <f t="shared" si="5"/>
        <v>7705</v>
      </c>
      <c r="I28" s="48" t="s">
        <v>217</v>
      </c>
      <c r="J28" s="49" t="s">
        <v>218</v>
      </c>
      <c r="K28" s="48">
        <v>7705</v>
      </c>
      <c r="L28" s="48" t="s">
        <v>219</v>
      </c>
      <c r="M28" s="49" t="s">
        <v>213</v>
      </c>
      <c r="N28" s="49" t="s">
        <v>220</v>
      </c>
      <c r="O28" s="50" t="s">
        <v>215</v>
      </c>
      <c r="P28" s="51" t="s">
        <v>216</v>
      </c>
    </row>
    <row r="29" spans="1:16" ht="12.75" customHeight="1" thickBot="1">
      <c r="A29" s="10" t="str">
        <f t="shared" si="0"/>
        <v> BBS 104 </v>
      </c>
      <c r="B29" s="15" t="str">
        <f t="shared" si="1"/>
        <v>I</v>
      </c>
      <c r="C29" s="10">
        <f t="shared" si="2"/>
        <v>49177.447999999997</v>
      </c>
      <c r="D29" s="12" t="str">
        <f t="shared" si="3"/>
        <v>vis</v>
      </c>
      <c r="E29" s="47">
        <f>VLOOKUP(C29,Active!C$21:E$973,3,FALSE)</f>
        <v>7754.0460602097137</v>
      </c>
      <c r="F29" s="15" t="s">
        <v>86</v>
      </c>
      <c r="G29" s="12" t="str">
        <f t="shared" si="4"/>
        <v>49177.448</v>
      </c>
      <c r="H29" s="10">
        <f t="shared" si="5"/>
        <v>7754</v>
      </c>
      <c r="I29" s="48" t="s">
        <v>221</v>
      </c>
      <c r="J29" s="49" t="s">
        <v>222</v>
      </c>
      <c r="K29" s="48">
        <v>7754</v>
      </c>
      <c r="L29" s="48" t="s">
        <v>223</v>
      </c>
      <c r="M29" s="49" t="s">
        <v>106</v>
      </c>
      <c r="N29" s="49"/>
      <c r="O29" s="50" t="s">
        <v>190</v>
      </c>
      <c r="P29" s="50" t="s">
        <v>224</v>
      </c>
    </row>
    <row r="30" spans="1:16" ht="12.75" customHeight="1" thickBot="1">
      <c r="A30" s="10" t="str">
        <f t="shared" si="0"/>
        <v> BBS 108 </v>
      </c>
      <c r="B30" s="15" t="str">
        <f t="shared" si="1"/>
        <v>I</v>
      </c>
      <c r="C30" s="10">
        <f t="shared" si="2"/>
        <v>49543.462</v>
      </c>
      <c r="D30" s="12" t="str">
        <f t="shared" si="3"/>
        <v>vis</v>
      </c>
      <c r="E30" s="47">
        <f>VLOOKUP(C30,Active!C$21:E$973,3,FALSE)</f>
        <v>7890.0470411628739</v>
      </c>
      <c r="F30" s="15" t="s">
        <v>86</v>
      </c>
      <c r="G30" s="12" t="str">
        <f t="shared" si="4"/>
        <v>49543.462</v>
      </c>
      <c r="H30" s="10">
        <f t="shared" si="5"/>
        <v>7890</v>
      </c>
      <c r="I30" s="48" t="s">
        <v>225</v>
      </c>
      <c r="J30" s="49" t="s">
        <v>226</v>
      </c>
      <c r="K30" s="48">
        <v>7890</v>
      </c>
      <c r="L30" s="48" t="s">
        <v>227</v>
      </c>
      <c r="M30" s="49" t="s">
        <v>213</v>
      </c>
      <c r="N30" s="49" t="s">
        <v>228</v>
      </c>
      <c r="O30" s="50" t="s">
        <v>185</v>
      </c>
      <c r="P30" s="50" t="s">
        <v>229</v>
      </c>
    </row>
    <row r="31" spans="1:16" ht="12.75" customHeight="1" thickBot="1">
      <c r="A31" s="10" t="str">
        <f t="shared" si="0"/>
        <v> BBS 107 </v>
      </c>
      <c r="B31" s="15" t="str">
        <f t="shared" si="1"/>
        <v>I</v>
      </c>
      <c r="C31" s="10">
        <f t="shared" si="2"/>
        <v>49605.347000000002</v>
      </c>
      <c r="D31" s="12" t="str">
        <f t="shared" si="3"/>
        <v>vis</v>
      </c>
      <c r="E31" s="47">
        <f>VLOOKUP(C31,Active!C$21:E$973,3,FALSE)</f>
        <v>7913.0418465700077</v>
      </c>
      <c r="F31" s="15" t="s">
        <v>86</v>
      </c>
      <c r="G31" s="12" t="str">
        <f t="shared" si="4"/>
        <v>49605.347</v>
      </c>
      <c r="H31" s="10">
        <f t="shared" si="5"/>
        <v>7913</v>
      </c>
      <c r="I31" s="48" t="s">
        <v>230</v>
      </c>
      <c r="J31" s="49" t="s">
        <v>231</v>
      </c>
      <c r="K31" s="48">
        <v>7913</v>
      </c>
      <c r="L31" s="48" t="s">
        <v>232</v>
      </c>
      <c r="M31" s="49" t="s">
        <v>106</v>
      </c>
      <c r="N31" s="49"/>
      <c r="O31" s="50" t="s">
        <v>190</v>
      </c>
      <c r="P31" s="50" t="s">
        <v>233</v>
      </c>
    </row>
    <row r="32" spans="1:16" ht="12.75" customHeight="1" thickBot="1">
      <c r="A32" s="10" t="str">
        <f t="shared" si="0"/>
        <v>BAVM 133 </v>
      </c>
      <c r="B32" s="15" t="str">
        <f t="shared" si="1"/>
        <v>I</v>
      </c>
      <c r="C32" s="10">
        <f t="shared" si="2"/>
        <v>51330.436399999999</v>
      </c>
      <c r="D32" s="12" t="str">
        <f t="shared" si="3"/>
        <v>vis</v>
      </c>
      <c r="E32" s="47">
        <f>VLOOKUP(C32,Active!C$21:E$973,3,FALSE)</f>
        <v>8554.038777375652</v>
      </c>
      <c r="F32" s="15" t="s">
        <v>86</v>
      </c>
      <c r="G32" s="12" t="str">
        <f t="shared" si="4"/>
        <v>51330.4364</v>
      </c>
      <c r="H32" s="10">
        <f t="shared" si="5"/>
        <v>8554</v>
      </c>
      <c r="I32" s="48" t="s">
        <v>234</v>
      </c>
      <c r="J32" s="49" t="s">
        <v>235</v>
      </c>
      <c r="K32" s="48">
        <v>8554</v>
      </c>
      <c r="L32" s="48" t="s">
        <v>236</v>
      </c>
      <c r="M32" s="49" t="s">
        <v>213</v>
      </c>
      <c r="N32" s="49" t="s">
        <v>237</v>
      </c>
      <c r="O32" s="50" t="s">
        <v>238</v>
      </c>
      <c r="P32" s="51" t="s">
        <v>239</v>
      </c>
    </row>
    <row r="33" spans="1:16" ht="12.75" customHeight="1" thickBot="1">
      <c r="A33" s="10" t="str">
        <f t="shared" si="0"/>
        <v>BAVM 152 </v>
      </c>
      <c r="B33" s="15" t="str">
        <f t="shared" si="1"/>
        <v>I</v>
      </c>
      <c r="C33" s="10">
        <f t="shared" si="2"/>
        <v>51661.461499999998</v>
      </c>
      <c r="D33" s="12" t="str">
        <f t="shared" si="3"/>
        <v>vis</v>
      </c>
      <c r="E33" s="47">
        <f>VLOOKUP(C33,Active!C$21:E$973,3,FALSE)</f>
        <v>8677.0388219644301</v>
      </c>
      <c r="F33" s="15" t="s">
        <v>86</v>
      </c>
      <c r="G33" s="12" t="str">
        <f t="shared" si="4"/>
        <v>51661.4615</v>
      </c>
      <c r="H33" s="10">
        <f t="shared" si="5"/>
        <v>8677</v>
      </c>
      <c r="I33" s="48" t="s">
        <v>240</v>
      </c>
      <c r="J33" s="49" t="s">
        <v>241</v>
      </c>
      <c r="K33" s="48" t="s">
        <v>242</v>
      </c>
      <c r="L33" s="48" t="s">
        <v>243</v>
      </c>
      <c r="M33" s="49" t="s">
        <v>213</v>
      </c>
      <c r="N33" s="49" t="s">
        <v>244</v>
      </c>
      <c r="O33" s="50" t="s">
        <v>245</v>
      </c>
      <c r="P33" s="51" t="s">
        <v>246</v>
      </c>
    </row>
    <row r="34" spans="1:16" ht="12.75" customHeight="1" thickBot="1">
      <c r="A34" s="10" t="str">
        <f t="shared" si="0"/>
        <v>BAVM 178 </v>
      </c>
      <c r="B34" s="15" t="str">
        <f t="shared" si="1"/>
        <v>I</v>
      </c>
      <c r="C34" s="10">
        <f t="shared" si="2"/>
        <v>53518.424599999998</v>
      </c>
      <c r="D34" s="12" t="str">
        <f t="shared" si="3"/>
        <v>vis</v>
      </c>
      <c r="E34" s="47">
        <f>VLOOKUP(C34,Active!C$21:E$973,3,FALSE)</f>
        <v>9367.0364810534829</v>
      </c>
      <c r="F34" s="15" t="s">
        <v>86</v>
      </c>
      <c r="G34" s="12" t="str">
        <f t="shared" si="4"/>
        <v>53518.4246</v>
      </c>
      <c r="H34" s="10">
        <f t="shared" si="5"/>
        <v>9367</v>
      </c>
      <c r="I34" s="48" t="s">
        <v>253</v>
      </c>
      <c r="J34" s="49" t="s">
        <v>254</v>
      </c>
      <c r="K34" s="48" t="s">
        <v>255</v>
      </c>
      <c r="L34" s="48" t="s">
        <v>256</v>
      </c>
      <c r="M34" s="49" t="s">
        <v>257</v>
      </c>
      <c r="N34" s="49" t="s">
        <v>237</v>
      </c>
      <c r="O34" s="50" t="s">
        <v>215</v>
      </c>
      <c r="P34" s="51" t="s">
        <v>258</v>
      </c>
    </row>
    <row r="35" spans="1:16" ht="12.75" customHeight="1" thickBot="1">
      <c r="A35" s="10" t="str">
        <f t="shared" si="0"/>
        <v>BAVM 201 </v>
      </c>
      <c r="B35" s="15" t="str">
        <f t="shared" si="1"/>
        <v>I</v>
      </c>
      <c r="C35" s="10">
        <f t="shared" si="2"/>
        <v>54616.452700000002</v>
      </c>
      <c r="D35" s="12" t="str">
        <f t="shared" si="3"/>
        <v>vis</v>
      </c>
      <c r="E35" s="47">
        <f>VLOOKUP(C35,Active!C$21:E$973,3,FALSE)</f>
        <v>9775.0342590459477</v>
      </c>
      <c r="F35" s="15" t="s">
        <v>86</v>
      </c>
      <c r="G35" s="12" t="str">
        <f t="shared" si="4"/>
        <v>54616.4527</v>
      </c>
      <c r="H35" s="10">
        <f t="shared" si="5"/>
        <v>9775</v>
      </c>
      <c r="I35" s="48" t="s">
        <v>259</v>
      </c>
      <c r="J35" s="49" t="s">
        <v>260</v>
      </c>
      <c r="K35" s="48" t="s">
        <v>261</v>
      </c>
      <c r="L35" s="48" t="s">
        <v>262</v>
      </c>
      <c r="M35" s="49" t="s">
        <v>257</v>
      </c>
      <c r="N35" s="49" t="s">
        <v>237</v>
      </c>
      <c r="O35" s="50" t="s">
        <v>215</v>
      </c>
      <c r="P35" s="51" t="s">
        <v>263</v>
      </c>
    </row>
    <row r="36" spans="1:16" ht="12.75" customHeight="1" thickBot="1">
      <c r="A36" s="10" t="str">
        <f t="shared" si="0"/>
        <v>IBVS 5945 </v>
      </c>
      <c r="B36" s="15" t="str">
        <f t="shared" si="1"/>
        <v>I</v>
      </c>
      <c r="C36" s="10">
        <f t="shared" si="2"/>
        <v>55283.883999999998</v>
      </c>
      <c r="D36" s="12" t="str">
        <f t="shared" si="3"/>
        <v>vis</v>
      </c>
      <c r="E36" s="47">
        <f>VLOOKUP(C36,Active!C$21:E$973,3,FALSE)</f>
        <v>10023.03382058961</v>
      </c>
      <c r="F36" s="15" t="s">
        <v>86</v>
      </c>
      <c r="G36" s="12" t="str">
        <f t="shared" si="4"/>
        <v>55283.8840</v>
      </c>
      <c r="H36" s="10">
        <f t="shared" si="5"/>
        <v>10023</v>
      </c>
      <c r="I36" s="48" t="s">
        <v>264</v>
      </c>
      <c r="J36" s="49" t="s">
        <v>265</v>
      </c>
      <c r="K36" s="48" t="s">
        <v>266</v>
      </c>
      <c r="L36" s="48" t="s">
        <v>267</v>
      </c>
      <c r="M36" s="49" t="s">
        <v>257</v>
      </c>
      <c r="N36" s="49" t="s">
        <v>86</v>
      </c>
      <c r="O36" s="50" t="s">
        <v>149</v>
      </c>
      <c r="P36" s="51" t="s">
        <v>268</v>
      </c>
    </row>
    <row r="37" spans="1:16" ht="12.75" customHeight="1" thickBot="1">
      <c r="A37" s="10" t="str">
        <f t="shared" si="0"/>
        <v>BAVM 214 </v>
      </c>
      <c r="B37" s="15" t="str">
        <f t="shared" si="1"/>
        <v>I</v>
      </c>
      <c r="C37" s="10">
        <f t="shared" si="2"/>
        <v>55340.400800000003</v>
      </c>
      <c r="D37" s="12" t="str">
        <f t="shared" si="3"/>
        <v>vis</v>
      </c>
      <c r="E37" s="47">
        <f>VLOOKUP(C37,Active!C$21:E$973,3,FALSE)</f>
        <v>10044.033946924488</v>
      </c>
      <c r="F37" s="15" t="s">
        <v>86</v>
      </c>
      <c r="G37" s="12" t="str">
        <f t="shared" si="4"/>
        <v>55340.4008</v>
      </c>
      <c r="H37" s="10">
        <f t="shared" si="5"/>
        <v>10044</v>
      </c>
      <c r="I37" s="48" t="s">
        <v>269</v>
      </c>
      <c r="J37" s="49" t="s">
        <v>270</v>
      </c>
      <c r="K37" s="48" t="s">
        <v>271</v>
      </c>
      <c r="L37" s="48" t="s">
        <v>272</v>
      </c>
      <c r="M37" s="49" t="s">
        <v>257</v>
      </c>
      <c r="N37" s="49" t="s">
        <v>237</v>
      </c>
      <c r="O37" s="50" t="s">
        <v>215</v>
      </c>
      <c r="P37" s="51" t="s">
        <v>273</v>
      </c>
    </row>
    <row r="38" spans="1:16" ht="12.75" customHeight="1" thickBot="1">
      <c r="A38" s="10" t="str">
        <f t="shared" si="0"/>
        <v>IBVS 5992 </v>
      </c>
      <c r="B38" s="15" t="str">
        <f t="shared" si="1"/>
        <v>I</v>
      </c>
      <c r="C38" s="10">
        <f t="shared" si="2"/>
        <v>55711.792500000003</v>
      </c>
      <c r="D38" s="12" t="str">
        <f t="shared" si="3"/>
        <v>vis</v>
      </c>
      <c r="E38" s="47">
        <f>VLOOKUP(C38,Active!C$21:E$973,3,FALSE)</f>
        <v>10182.033136894986</v>
      </c>
      <c r="F38" s="15" t="s">
        <v>86</v>
      </c>
      <c r="G38" s="12" t="str">
        <f t="shared" si="4"/>
        <v>55711.7925</v>
      </c>
      <c r="H38" s="10">
        <f t="shared" si="5"/>
        <v>10182</v>
      </c>
      <c r="I38" s="48" t="s">
        <v>274</v>
      </c>
      <c r="J38" s="49" t="s">
        <v>275</v>
      </c>
      <c r="K38" s="48" t="s">
        <v>276</v>
      </c>
      <c r="L38" s="48" t="s">
        <v>277</v>
      </c>
      <c r="M38" s="49" t="s">
        <v>257</v>
      </c>
      <c r="N38" s="49" t="s">
        <v>86</v>
      </c>
      <c r="O38" s="50" t="s">
        <v>149</v>
      </c>
      <c r="P38" s="51" t="s">
        <v>278</v>
      </c>
    </row>
    <row r="39" spans="1:16" ht="12.75" customHeight="1" thickBot="1">
      <c r="A39" s="10" t="str">
        <f t="shared" si="0"/>
        <v>IBVS 6093 </v>
      </c>
      <c r="B39" s="15" t="str">
        <f t="shared" si="1"/>
        <v>I</v>
      </c>
      <c r="C39" s="10">
        <f t="shared" si="2"/>
        <v>56494.9519</v>
      </c>
      <c r="D39" s="12" t="str">
        <f t="shared" si="3"/>
        <v>vis</v>
      </c>
      <c r="E39" s="47">
        <f>VLOOKUP(C39,Active!C$21:E$973,3,FALSE)</f>
        <v>10473.03415500546</v>
      </c>
      <c r="F39" s="15" t="s">
        <v>86</v>
      </c>
      <c r="G39" s="12" t="str">
        <f t="shared" si="4"/>
        <v>56494.9519</v>
      </c>
      <c r="H39" s="10">
        <f t="shared" si="5"/>
        <v>10473</v>
      </c>
      <c r="I39" s="48" t="s">
        <v>279</v>
      </c>
      <c r="J39" s="49" t="s">
        <v>280</v>
      </c>
      <c r="K39" s="48" t="s">
        <v>281</v>
      </c>
      <c r="L39" s="48" t="s">
        <v>282</v>
      </c>
      <c r="M39" s="49" t="s">
        <v>257</v>
      </c>
      <c r="N39" s="49" t="s">
        <v>86</v>
      </c>
      <c r="O39" s="50" t="s">
        <v>149</v>
      </c>
      <c r="P39" s="51" t="s">
        <v>283</v>
      </c>
    </row>
    <row r="40" spans="1:16" ht="12.75" customHeight="1" thickBot="1">
      <c r="A40" s="10" t="str">
        <f t="shared" si="0"/>
        <v> AN 255.409 </v>
      </c>
      <c r="B40" s="15" t="str">
        <f t="shared" si="1"/>
        <v>I</v>
      </c>
      <c r="C40" s="10">
        <f t="shared" si="2"/>
        <v>26094.403999999999</v>
      </c>
      <c r="D40" s="12" t="str">
        <f t="shared" si="3"/>
        <v>vis</v>
      </c>
      <c r="E40" s="47">
        <f>VLOOKUP(C40,Active!C$21:E$973,3,FALSE)</f>
        <v>-822.9936906876344</v>
      </c>
      <c r="F40" s="15" t="s">
        <v>86</v>
      </c>
      <c r="G40" s="12" t="str">
        <f t="shared" si="4"/>
        <v>26094.404</v>
      </c>
      <c r="H40" s="10">
        <f t="shared" si="5"/>
        <v>-823</v>
      </c>
      <c r="I40" s="48" t="s">
        <v>91</v>
      </c>
      <c r="J40" s="49" t="s">
        <v>92</v>
      </c>
      <c r="K40" s="48">
        <v>-823</v>
      </c>
      <c r="L40" s="48" t="s">
        <v>93</v>
      </c>
      <c r="M40" s="49" t="s">
        <v>94</v>
      </c>
      <c r="N40" s="49"/>
      <c r="O40" s="50" t="s">
        <v>95</v>
      </c>
      <c r="P40" s="50" t="s">
        <v>96</v>
      </c>
    </row>
    <row r="41" spans="1:16" ht="12.75" customHeight="1" thickBot="1">
      <c r="A41" s="10" t="str">
        <f t="shared" si="0"/>
        <v> AN 255.409 </v>
      </c>
      <c r="B41" s="15" t="str">
        <f t="shared" si="1"/>
        <v>I</v>
      </c>
      <c r="C41" s="10">
        <f t="shared" si="2"/>
        <v>26207.363000000001</v>
      </c>
      <c r="D41" s="12" t="str">
        <f t="shared" si="3"/>
        <v>vis</v>
      </c>
      <c r="E41" s="47">
        <f>VLOOKUP(C41,Active!C$21:E$973,3,FALSE)</f>
        <v>-781.02115737609904</v>
      </c>
      <c r="F41" s="15" t="s">
        <v>86</v>
      </c>
      <c r="G41" s="12" t="str">
        <f t="shared" si="4"/>
        <v>26207.363</v>
      </c>
      <c r="H41" s="10">
        <f t="shared" si="5"/>
        <v>-781</v>
      </c>
      <c r="I41" s="48" t="s">
        <v>97</v>
      </c>
      <c r="J41" s="49" t="s">
        <v>98</v>
      </c>
      <c r="K41" s="48">
        <v>-781</v>
      </c>
      <c r="L41" s="48" t="s">
        <v>99</v>
      </c>
      <c r="M41" s="49" t="s">
        <v>94</v>
      </c>
      <c r="N41" s="49"/>
      <c r="O41" s="50" t="s">
        <v>95</v>
      </c>
      <c r="P41" s="50" t="s">
        <v>96</v>
      </c>
    </row>
    <row r="42" spans="1:16" ht="12.75" customHeight="1" thickBot="1">
      <c r="A42" s="10" t="str">
        <f t="shared" si="0"/>
        <v> AN 255.409 </v>
      </c>
      <c r="B42" s="15" t="str">
        <f t="shared" si="1"/>
        <v>I</v>
      </c>
      <c r="C42" s="10">
        <f t="shared" si="2"/>
        <v>27539.51</v>
      </c>
      <c r="D42" s="12" t="str">
        <f t="shared" si="3"/>
        <v>vis</v>
      </c>
      <c r="E42" s="47">
        <f>VLOOKUP(C42,Active!C$21:E$973,3,FALSE)</f>
        <v>-286.03107837964495</v>
      </c>
      <c r="F42" s="15" t="s">
        <v>86</v>
      </c>
      <c r="G42" s="12" t="str">
        <f t="shared" si="4"/>
        <v>27539.510</v>
      </c>
      <c r="H42" s="10">
        <f t="shared" si="5"/>
        <v>-286</v>
      </c>
      <c r="I42" s="48" t="s">
        <v>100</v>
      </c>
      <c r="J42" s="49" t="s">
        <v>101</v>
      </c>
      <c r="K42" s="48">
        <v>-286</v>
      </c>
      <c r="L42" s="48" t="s">
        <v>102</v>
      </c>
      <c r="M42" s="49" t="s">
        <v>94</v>
      </c>
      <c r="N42" s="49"/>
      <c r="O42" s="50" t="s">
        <v>95</v>
      </c>
      <c r="P42" s="50" t="s">
        <v>96</v>
      </c>
    </row>
    <row r="43" spans="1:16" ht="12.75" customHeight="1" thickBot="1">
      <c r="A43" s="10" t="str">
        <f t="shared" si="0"/>
        <v> PZ 5.198 </v>
      </c>
      <c r="B43" s="15" t="str">
        <f t="shared" si="1"/>
        <v>I</v>
      </c>
      <c r="C43" s="10">
        <f t="shared" si="2"/>
        <v>28694.204000000002</v>
      </c>
      <c r="D43" s="12" t="str">
        <f t="shared" si="3"/>
        <v>vis</v>
      </c>
      <c r="E43" s="47">
        <f>VLOOKUP(C43,Active!C$21:E$973,3,FALSE)</f>
        <v>143.0222275068183</v>
      </c>
      <c r="F43" s="15" t="s">
        <v>86</v>
      </c>
      <c r="G43" s="12" t="str">
        <f t="shared" si="4"/>
        <v>28694.204</v>
      </c>
      <c r="H43" s="10">
        <f t="shared" si="5"/>
        <v>143</v>
      </c>
      <c r="I43" s="48" t="s">
        <v>109</v>
      </c>
      <c r="J43" s="49" t="s">
        <v>110</v>
      </c>
      <c r="K43" s="48">
        <v>143</v>
      </c>
      <c r="L43" s="48" t="s">
        <v>111</v>
      </c>
      <c r="M43" s="49" t="s">
        <v>106</v>
      </c>
      <c r="N43" s="49"/>
      <c r="O43" s="50" t="s">
        <v>112</v>
      </c>
      <c r="P43" s="50" t="s">
        <v>113</v>
      </c>
    </row>
    <row r="44" spans="1:16" ht="12.75" customHeight="1" thickBot="1">
      <c r="A44" s="10" t="str">
        <f t="shared" si="0"/>
        <v> PZ 5.198 </v>
      </c>
      <c r="B44" s="15" t="str">
        <f t="shared" si="1"/>
        <v>I</v>
      </c>
      <c r="C44" s="10">
        <f t="shared" si="2"/>
        <v>28780.241999999998</v>
      </c>
      <c r="D44" s="12" t="str">
        <f t="shared" si="3"/>
        <v>vis</v>
      </c>
      <c r="E44" s="47">
        <f>VLOOKUP(C44,Active!C$21:E$973,3,FALSE)</f>
        <v>174.99163960375313</v>
      </c>
      <c r="F44" s="15" t="s">
        <v>86</v>
      </c>
      <c r="G44" s="12" t="str">
        <f t="shared" si="4"/>
        <v>28780.242</v>
      </c>
      <c r="H44" s="10">
        <f t="shared" si="5"/>
        <v>175</v>
      </c>
      <c r="I44" s="48" t="s">
        <v>114</v>
      </c>
      <c r="J44" s="49" t="s">
        <v>115</v>
      </c>
      <c r="K44" s="48">
        <v>175</v>
      </c>
      <c r="L44" s="48" t="s">
        <v>116</v>
      </c>
      <c r="M44" s="49" t="s">
        <v>106</v>
      </c>
      <c r="N44" s="49"/>
      <c r="O44" s="50" t="s">
        <v>112</v>
      </c>
      <c r="P44" s="50" t="s">
        <v>113</v>
      </c>
    </row>
    <row r="45" spans="1:16" ht="12.75" customHeight="1" thickBot="1">
      <c r="A45" s="10" t="str">
        <f t="shared" si="0"/>
        <v> CTAD 43 </v>
      </c>
      <c r="B45" s="15" t="str">
        <f t="shared" si="1"/>
        <v>I</v>
      </c>
      <c r="C45" s="10">
        <f t="shared" si="2"/>
        <v>29111.32</v>
      </c>
      <c r="D45" s="12" t="str">
        <f t="shared" si="3"/>
        <v>vis</v>
      </c>
      <c r="E45" s="47">
        <f>VLOOKUP(C45,Active!C$21:E$973,3,FALSE)</f>
        <v>298.01134041303999</v>
      </c>
      <c r="F45" s="15" t="s">
        <v>86</v>
      </c>
      <c r="G45" s="12" t="str">
        <f t="shared" si="4"/>
        <v>29111.320</v>
      </c>
      <c r="H45" s="10">
        <f t="shared" si="5"/>
        <v>298</v>
      </c>
      <c r="I45" s="48" t="s">
        <v>117</v>
      </c>
      <c r="J45" s="49" t="s">
        <v>118</v>
      </c>
      <c r="K45" s="48">
        <v>298</v>
      </c>
      <c r="L45" s="48" t="s">
        <v>119</v>
      </c>
      <c r="M45" s="49" t="s">
        <v>106</v>
      </c>
      <c r="N45" s="49"/>
      <c r="O45" s="50" t="s">
        <v>112</v>
      </c>
      <c r="P45" s="50" t="s">
        <v>120</v>
      </c>
    </row>
    <row r="46" spans="1:16" ht="12.75" customHeight="1" thickBot="1">
      <c r="A46" s="10" t="str">
        <f t="shared" si="0"/>
        <v> PZ 8.46 </v>
      </c>
      <c r="B46" s="15" t="str">
        <f t="shared" si="1"/>
        <v>I</v>
      </c>
      <c r="C46" s="10">
        <f t="shared" si="2"/>
        <v>29415.401999999998</v>
      </c>
      <c r="D46" s="12" t="str">
        <f t="shared" si="3"/>
        <v>vis</v>
      </c>
      <c r="E46" s="47">
        <f>VLOOKUP(C46,Active!C$21:E$973,3,FALSE)</f>
        <v>411.00005202024198</v>
      </c>
      <c r="F46" s="15" t="s">
        <v>86</v>
      </c>
      <c r="G46" s="12" t="str">
        <f t="shared" si="4"/>
        <v>29415.402</v>
      </c>
      <c r="H46" s="10">
        <f t="shared" si="5"/>
        <v>411</v>
      </c>
      <c r="I46" s="48" t="s">
        <v>121</v>
      </c>
      <c r="J46" s="49" t="s">
        <v>122</v>
      </c>
      <c r="K46" s="48">
        <v>411</v>
      </c>
      <c r="L46" s="48" t="s">
        <v>105</v>
      </c>
      <c r="M46" s="49" t="s">
        <v>106</v>
      </c>
      <c r="N46" s="49"/>
      <c r="O46" s="50" t="s">
        <v>112</v>
      </c>
      <c r="P46" s="50" t="s">
        <v>123</v>
      </c>
    </row>
    <row r="47" spans="1:16" ht="12.75" customHeight="1" thickBot="1">
      <c r="A47" s="10" t="str">
        <f t="shared" si="0"/>
        <v> IODE 4.2.101 </v>
      </c>
      <c r="B47" s="15" t="str">
        <f t="shared" si="1"/>
        <v>I</v>
      </c>
      <c r="C47" s="10">
        <f t="shared" si="2"/>
        <v>31272.370999999999</v>
      </c>
      <c r="D47" s="12" t="str">
        <f t="shared" si="3"/>
        <v>vis</v>
      </c>
      <c r="E47" s="47">
        <f>VLOOKUP(C47,Active!C$21:E$973,3,FALSE)</f>
        <v>1100.9999033909758</v>
      </c>
      <c r="F47" s="15" t="s">
        <v>86</v>
      </c>
      <c r="G47" s="12" t="str">
        <f t="shared" si="4"/>
        <v>31272.371</v>
      </c>
      <c r="H47" s="10">
        <f t="shared" si="5"/>
        <v>1101</v>
      </c>
      <c r="I47" s="48" t="s">
        <v>124</v>
      </c>
      <c r="J47" s="49" t="s">
        <v>125</v>
      </c>
      <c r="K47" s="48">
        <v>1101</v>
      </c>
      <c r="L47" s="48" t="s">
        <v>126</v>
      </c>
      <c r="M47" s="49" t="s">
        <v>106</v>
      </c>
      <c r="N47" s="49"/>
      <c r="O47" s="50" t="s">
        <v>127</v>
      </c>
      <c r="P47" s="50" t="s">
        <v>128</v>
      </c>
    </row>
    <row r="48" spans="1:16" ht="12.75" customHeight="1" thickBot="1">
      <c r="A48" s="10" t="str">
        <f t="shared" si="0"/>
        <v> AJ 67.462 </v>
      </c>
      <c r="B48" s="15" t="str">
        <f t="shared" si="1"/>
        <v>I</v>
      </c>
      <c r="C48" s="10">
        <f t="shared" si="2"/>
        <v>34544.951000000001</v>
      </c>
      <c r="D48" s="12" t="str">
        <f t="shared" si="3"/>
        <v>vis</v>
      </c>
      <c r="E48" s="47">
        <f>VLOOKUP(C48,Active!C$21:E$973,3,FALSE)</f>
        <v>2317.0028165246013</v>
      </c>
      <c r="F48" s="15" t="s">
        <v>86</v>
      </c>
      <c r="G48" s="12" t="str">
        <f t="shared" si="4"/>
        <v>34544.951</v>
      </c>
      <c r="H48" s="10">
        <f t="shared" si="5"/>
        <v>2317</v>
      </c>
      <c r="I48" s="48" t="s">
        <v>129</v>
      </c>
      <c r="J48" s="49" t="s">
        <v>130</v>
      </c>
      <c r="K48" s="48">
        <v>2317</v>
      </c>
      <c r="L48" s="48" t="s">
        <v>131</v>
      </c>
      <c r="M48" s="49" t="s">
        <v>88</v>
      </c>
      <c r="N48" s="49"/>
      <c r="O48" s="50" t="s">
        <v>89</v>
      </c>
      <c r="P48" s="50" t="s">
        <v>90</v>
      </c>
    </row>
    <row r="49" spans="1:16" ht="12.75" customHeight="1" thickBot="1">
      <c r="A49" s="10" t="str">
        <f t="shared" si="0"/>
        <v> MVS 2.124 </v>
      </c>
      <c r="B49" s="15" t="str">
        <f t="shared" si="1"/>
        <v>I</v>
      </c>
      <c r="C49" s="10">
        <f t="shared" si="2"/>
        <v>35979.495000000003</v>
      </c>
      <c r="D49" s="12" t="str">
        <f t="shared" si="3"/>
        <v>vis</v>
      </c>
      <c r="E49" s="47">
        <f>VLOOKUP(C49,Active!C$21:E$973,3,FALSE)</f>
        <v>2850.0408730483123</v>
      </c>
      <c r="F49" s="15" t="s">
        <v>86</v>
      </c>
      <c r="G49" s="12" t="str">
        <f t="shared" si="4"/>
        <v>35979.495</v>
      </c>
      <c r="H49" s="10">
        <f t="shared" si="5"/>
        <v>2850</v>
      </c>
      <c r="I49" s="48" t="s">
        <v>132</v>
      </c>
      <c r="J49" s="49" t="s">
        <v>133</v>
      </c>
      <c r="K49" s="48">
        <v>2850</v>
      </c>
      <c r="L49" s="48" t="s">
        <v>134</v>
      </c>
      <c r="M49" s="49" t="s">
        <v>94</v>
      </c>
      <c r="N49" s="49"/>
      <c r="O49" s="50" t="s">
        <v>135</v>
      </c>
      <c r="P49" s="50" t="s">
        <v>136</v>
      </c>
    </row>
    <row r="50" spans="1:16" ht="12.75" customHeight="1" thickBot="1">
      <c r="A50" s="10" t="str">
        <f t="shared" si="0"/>
        <v> MVS 2.124 </v>
      </c>
      <c r="B50" s="15" t="str">
        <f t="shared" si="1"/>
        <v>I</v>
      </c>
      <c r="C50" s="10">
        <f t="shared" si="2"/>
        <v>36318.578000000001</v>
      </c>
      <c r="D50" s="12" t="str">
        <f t="shared" si="3"/>
        <v>vis</v>
      </c>
      <c r="E50" s="47">
        <f>VLOOKUP(C50,Active!C$21:E$973,3,FALSE)</f>
        <v>2976.0350170552078</v>
      </c>
      <c r="F50" s="15" t="s">
        <v>86</v>
      </c>
      <c r="G50" s="12" t="str">
        <f t="shared" si="4"/>
        <v>36318.578</v>
      </c>
      <c r="H50" s="10">
        <f t="shared" si="5"/>
        <v>2976</v>
      </c>
      <c r="I50" s="48" t="s">
        <v>137</v>
      </c>
      <c r="J50" s="49" t="s">
        <v>138</v>
      </c>
      <c r="K50" s="48">
        <v>2976</v>
      </c>
      <c r="L50" s="48" t="s">
        <v>139</v>
      </c>
      <c r="M50" s="49" t="s">
        <v>94</v>
      </c>
      <c r="N50" s="49"/>
      <c r="O50" s="50" t="s">
        <v>135</v>
      </c>
      <c r="P50" s="50" t="s">
        <v>136</v>
      </c>
    </row>
    <row r="51" spans="1:16" ht="12.75" customHeight="1" thickBot="1">
      <c r="A51" s="10" t="str">
        <f t="shared" si="0"/>
        <v> MVS 2.124 </v>
      </c>
      <c r="B51" s="15" t="str">
        <f t="shared" si="1"/>
        <v>I</v>
      </c>
      <c r="C51" s="10">
        <f t="shared" si="2"/>
        <v>36808.362999999998</v>
      </c>
      <c r="D51" s="12" t="str">
        <f t="shared" si="3"/>
        <v>vis</v>
      </c>
      <c r="E51" s="47">
        <f>VLOOKUP(C51,Active!C$21:E$973,3,FALSE)</f>
        <v>3158.0259803957979</v>
      </c>
      <c r="F51" s="15" t="s">
        <v>86</v>
      </c>
      <c r="G51" s="12" t="str">
        <f t="shared" si="4"/>
        <v>36808.363</v>
      </c>
      <c r="H51" s="10">
        <f t="shared" si="5"/>
        <v>3158</v>
      </c>
      <c r="I51" s="48" t="s">
        <v>140</v>
      </c>
      <c r="J51" s="49" t="s">
        <v>141</v>
      </c>
      <c r="K51" s="48">
        <v>3158</v>
      </c>
      <c r="L51" s="48" t="s">
        <v>142</v>
      </c>
      <c r="M51" s="49" t="s">
        <v>94</v>
      </c>
      <c r="N51" s="49"/>
      <c r="O51" s="50" t="s">
        <v>135</v>
      </c>
      <c r="P51" s="50" t="s">
        <v>136</v>
      </c>
    </row>
    <row r="52" spans="1:16" ht="12.75" customHeight="1" thickBot="1">
      <c r="A52" s="10" t="str">
        <f t="shared" si="0"/>
        <v> MVS 2.124 </v>
      </c>
      <c r="B52" s="15" t="str">
        <f t="shared" si="1"/>
        <v>I</v>
      </c>
      <c r="C52" s="10">
        <f t="shared" si="2"/>
        <v>37104.449000000001</v>
      </c>
      <c r="D52" s="12" t="str">
        <f t="shared" si="3"/>
        <v>vis</v>
      </c>
      <c r="E52" s="47">
        <f>VLOOKUP(C52,Active!C$21:E$973,3,FALSE)</f>
        <v>3268.0435929638898</v>
      </c>
      <c r="F52" s="15" t="s">
        <v>86</v>
      </c>
      <c r="G52" s="12" t="str">
        <f t="shared" si="4"/>
        <v>37104.449</v>
      </c>
      <c r="H52" s="10">
        <f t="shared" si="5"/>
        <v>3268</v>
      </c>
      <c r="I52" s="48" t="s">
        <v>143</v>
      </c>
      <c r="J52" s="49" t="s">
        <v>144</v>
      </c>
      <c r="K52" s="48">
        <v>3268</v>
      </c>
      <c r="L52" s="48" t="s">
        <v>145</v>
      </c>
      <c r="M52" s="49" t="s">
        <v>94</v>
      </c>
      <c r="N52" s="49"/>
      <c r="O52" s="50" t="s">
        <v>135</v>
      </c>
      <c r="P52" s="50" t="s">
        <v>136</v>
      </c>
    </row>
    <row r="53" spans="1:16" ht="12.75" customHeight="1" thickBot="1">
      <c r="A53" s="10" t="str">
        <f t="shared" si="0"/>
        <v>VSB 40 </v>
      </c>
      <c r="B53" s="15" t="str">
        <f t="shared" si="1"/>
        <v>I</v>
      </c>
      <c r="C53" s="10">
        <f t="shared" si="2"/>
        <v>52423.078300000001</v>
      </c>
      <c r="D53" s="12" t="str">
        <f t="shared" si="3"/>
        <v>vis</v>
      </c>
      <c r="E53" s="47">
        <f>VLOOKUP(C53,Active!C$21:E$973,3,FALSE)</f>
        <v>8960.0351879788632</v>
      </c>
      <c r="F53" s="15" t="s">
        <v>86</v>
      </c>
      <c r="G53" s="12" t="str">
        <f t="shared" si="4"/>
        <v>52423.0783</v>
      </c>
      <c r="H53" s="10">
        <f t="shared" si="5"/>
        <v>8960</v>
      </c>
      <c r="I53" s="48" t="s">
        <v>247</v>
      </c>
      <c r="J53" s="49" t="s">
        <v>248</v>
      </c>
      <c r="K53" s="48" t="s">
        <v>249</v>
      </c>
      <c r="L53" s="48" t="s">
        <v>250</v>
      </c>
      <c r="M53" s="49" t="s">
        <v>213</v>
      </c>
      <c r="N53" s="49" t="s">
        <v>228</v>
      </c>
      <c r="O53" s="50" t="s">
        <v>251</v>
      </c>
      <c r="P53" s="51" t="s">
        <v>252</v>
      </c>
    </row>
    <row r="54" spans="1:16" ht="12.75" customHeight="1" thickBot="1">
      <c r="A54" s="10" t="str">
        <f t="shared" si="0"/>
        <v>BAVM 241 (=IBVS 6157) </v>
      </c>
      <c r="B54" s="15" t="str">
        <f t="shared" si="1"/>
        <v>I</v>
      </c>
      <c r="C54" s="10">
        <f t="shared" si="2"/>
        <v>57178.5314</v>
      </c>
      <c r="D54" s="12" t="str">
        <f t="shared" si="3"/>
        <v>vis</v>
      </c>
      <c r="E54" s="47">
        <f>VLOOKUP(C54,Active!C$21:E$973,3,FALSE)</f>
        <v>10727.033954355951</v>
      </c>
      <c r="F54" s="15" t="s">
        <v>86</v>
      </c>
      <c r="G54" s="12" t="str">
        <f t="shared" si="4"/>
        <v>57178.5314</v>
      </c>
      <c r="H54" s="10">
        <f t="shared" si="5"/>
        <v>10727</v>
      </c>
      <c r="I54" s="48" t="s">
        <v>284</v>
      </c>
      <c r="J54" s="49" t="s">
        <v>285</v>
      </c>
      <c r="K54" s="48" t="s">
        <v>286</v>
      </c>
      <c r="L54" s="48" t="s">
        <v>272</v>
      </c>
      <c r="M54" s="49" t="s">
        <v>257</v>
      </c>
      <c r="N54" s="49" t="s">
        <v>237</v>
      </c>
      <c r="O54" s="50" t="s">
        <v>215</v>
      </c>
      <c r="P54" s="51" t="s">
        <v>287</v>
      </c>
    </row>
    <row r="55" spans="1:16">
      <c r="B55" s="15"/>
      <c r="E55" s="47"/>
      <c r="F55" s="15"/>
    </row>
    <row r="56" spans="1:16">
      <c r="B56" s="15"/>
      <c r="F56" s="15"/>
    </row>
    <row r="57" spans="1:16">
      <c r="B57" s="15"/>
      <c r="F57" s="15"/>
    </row>
    <row r="58" spans="1:16">
      <c r="B58" s="15"/>
      <c r="F58" s="15"/>
    </row>
    <row r="59" spans="1:16">
      <c r="B59" s="15"/>
      <c r="F59" s="15"/>
    </row>
    <row r="60" spans="1:16">
      <c r="B60" s="15"/>
      <c r="F60" s="15"/>
    </row>
    <row r="61" spans="1:16">
      <c r="B61" s="15"/>
      <c r="F61" s="15"/>
    </row>
    <row r="62" spans="1:16">
      <c r="B62" s="15"/>
      <c r="F62" s="15"/>
    </row>
    <row r="63" spans="1:16">
      <c r="B63" s="15"/>
      <c r="F63" s="15"/>
    </row>
    <row r="64" spans="1:16">
      <c r="B64" s="15"/>
      <c r="F64" s="15"/>
    </row>
    <row r="65" spans="2:6">
      <c r="B65" s="15"/>
      <c r="F65" s="15"/>
    </row>
    <row r="66" spans="2:6">
      <c r="B66" s="15"/>
      <c r="F66" s="15"/>
    </row>
    <row r="67" spans="2:6">
      <c r="B67" s="15"/>
      <c r="F67" s="15"/>
    </row>
    <row r="68" spans="2:6">
      <c r="B68" s="15"/>
      <c r="F68" s="15"/>
    </row>
    <row r="69" spans="2:6">
      <c r="B69" s="15"/>
      <c r="F69" s="15"/>
    </row>
    <row r="70" spans="2:6">
      <c r="B70" s="15"/>
      <c r="F70" s="15"/>
    </row>
    <row r="71" spans="2:6">
      <c r="B71" s="15"/>
      <c r="F71" s="15"/>
    </row>
    <row r="72" spans="2:6">
      <c r="B72" s="15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</sheetData>
  <phoneticPr fontId="7" type="noConversion"/>
  <hyperlinks>
    <hyperlink ref="P27" r:id="rId1" display="http://www.bav-astro.de/sfs/BAVM_link.php?BAVMnr=62"/>
    <hyperlink ref="P28" r:id="rId2" display="http://www.bav-astro.de/sfs/BAVM_link.php?BAVMnr=62"/>
    <hyperlink ref="P32" r:id="rId3" display="http://www.bav-astro.de/sfs/BAVM_link.php?BAVMnr=133"/>
    <hyperlink ref="P33" r:id="rId4" display="http://www.bav-astro.de/sfs/BAVM_link.php?BAVMnr=152"/>
    <hyperlink ref="P53" r:id="rId5" display="http://vsolj.cetus-net.org/no40.pdf"/>
    <hyperlink ref="P34" r:id="rId6" display="http://www.bav-astro.de/sfs/BAVM_link.php?BAVMnr=178"/>
    <hyperlink ref="P35" r:id="rId7" display="http://www.bav-astro.de/sfs/BAVM_link.php?BAVMnr=201"/>
    <hyperlink ref="P36" r:id="rId8" display="http://www.konkoly.hu/cgi-bin/IBVS?5945"/>
    <hyperlink ref="P37" r:id="rId9" display="http://www.bav-astro.de/sfs/BAVM_link.php?BAVMnr=214"/>
    <hyperlink ref="P38" r:id="rId10" display="http://www.konkoly.hu/cgi-bin/IBVS?5992"/>
    <hyperlink ref="P39" r:id="rId11" display="http://www.konkoly.hu/cgi-bin/IBVS?6093"/>
    <hyperlink ref="P54" r:id="rId1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2023-01-14T06:08:18Z</dcterms:modified>
</cp:coreProperties>
</file>