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EFABF53-041C-47CD-BAE7-D64BBE4E221C}" xr6:coauthVersionLast="47" xr6:coauthVersionMax="47" xr10:uidLastSave="{00000000-0000-0000-0000-000000000000}"/>
  <bookViews>
    <workbookView xWindow="13665" yWindow="48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4" i="1" l="1"/>
  <c r="F54" i="1" s="1"/>
  <c r="G54" i="1" s="1"/>
  <c r="K54" i="1" s="1"/>
  <c r="Q54" i="1"/>
  <c r="Q28" i="1"/>
  <c r="D9" i="1"/>
  <c r="C9" i="1"/>
  <c r="Q27" i="1"/>
  <c r="Q26" i="1"/>
  <c r="Q25" i="1"/>
  <c r="Q24" i="1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40" i="2"/>
  <c r="C40" i="2"/>
  <c r="G39" i="2"/>
  <c r="C39" i="2"/>
  <c r="G38" i="2"/>
  <c r="C38" i="2"/>
  <c r="G37" i="2"/>
  <c r="C37" i="2"/>
  <c r="G36" i="2"/>
  <c r="C36" i="2"/>
  <c r="G13" i="2"/>
  <c r="C13" i="2"/>
  <c r="G12" i="2"/>
  <c r="C12" i="2"/>
  <c r="G11" i="2"/>
  <c r="C11" i="2"/>
  <c r="E11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13" i="2"/>
  <c r="D13" i="2"/>
  <c r="B13" i="2"/>
  <c r="A13" i="2"/>
  <c r="H12" i="2"/>
  <c r="B12" i="2"/>
  <c r="D12" i="2"/>
  <c r="A12" i="2"/>
  <c r="H11" i="2"/>
  <c r="D11" i="2"/>
  <c r="B11" i="2"/>
  <c r="A11" i="2"/>
  <c r="Q52" i="1"/>
  <c r="Q51" i="1"/>
  <c r="Q46" i="1"/>
  <c r="Q45" i="1"/>
  <c r="Q44" i="1"/>
  <c r="Q43" i="1"/>
  <c r="Q40" i="1"/>
  <c r="Q39" i="1"/>
  <c r="Q37" i="1"/>
  <c r="Q36" i="1"/>
  <c r="Q35" i="1"/>
  <c r="Q34" i="1"/>
  <c r="Q33" i="1"/>
  <c r="Q32" i="1"/>
  <c r="Q31" i="1"/>
  <c r="Q53" i="1"/>
  <c r="Q50" i="1"/>
  <c r="C7" i="1"/>
  <c r="E23" i="1"/>
  <c r="F23" i="1"/>
  <c r="Q23" i="1"/>
  <c r="Q30" i="1"/>
  <c r="Q47" i="1"/>
  <c r="Q48" i="1"/>
  <c r="Q49" i="1"/>
  <c r="F16" i="1"/>
  <c r="F17" i="1" s="1"/>
  <c r="C17" i="1"/>
  <c r="Q41" i="1"/>
  <c r="Q42" i="1"/>
  <c r="Q38" i="1"/>
  <c r="Q22" i="1"/>
  <c r="Q29" i="1"/>
  <c r="Q21" i="1"/>
  <c r="E18" i="2"/>
  <c r="E20" i="2"/>
  <c r="E13" i="2"/>
  <c r="E31" i="2"/>
  <c r="E35" i="2"/>
  <c r="E15" i="2"/>
  <c r="E28" i="2"/>
  <c r="E50" i="1"/>
  <c r="F50" i="1"/>
  <c r="G50" i="1"/>
  <c r="J50" i="1"/>
  <c r="E40" i="1"/>
  <c r="F40" i="1"/>
  <c r="E31" i="1"/>
  <c r="F31" i="1"/>
  <c r="G28" i="1"/>
  <c r="J28" i="1"/>
  <c r="E26" i="1"/>
  <c r="F26" i="1"/>
  <c r="E47" i="1"/>
  <c r="F47" i="1"/>
  <c r="G47" i="1"/>
  <c r="J47" i="1"/>
  <c r="G39" i="1"/>
  <c r="J39" i="1"/>
  <c r="E36" i="1"/>
  <c r="F36" i="1"/>
  <c r="E38" i="1"/>
  <c r="F38" i="1"/>
  <c r="E52" i="1"/>
  <c r="F52" i="1"/>
  <c r="G52" i="1"/>
  <c r="J52" i="1"/>
  <c r="G46" i="1"/>
  <c r="J46" i="1"/>
  <c r="E44" i="1"/>
  <c r="F44" i="1"/>
  <c r="G44" i="1"/>
  <c r="J44" i="1"/>
  <c r="E33" i="1"/>
  <c r="F33" i="1"/>
  <c r="G33" i="1"/>
  <c r="J33" i="1"/>
  <c r="E22" i="1"/>
  <c r="F22" i="1"/>
  <c r="G22" i="1"/>
  <c r="E28" i="1"/>
  <c r="F28" i="1"/>
  <c r="G51" i="1"/>
  <c r="J51" i="1"/>
  <c r="E49" i="1"/>
  <c r="F49" i="1"/>
  <c r="G49" i="1"/>
  <c r="J49" i="1"/>
  <c r="G43" i="1"/>
  <c r="J43" i="1"/>
  <c r="E39" i="1"/>
  <c r="F39" i="1"/>
  <c r="G32" i="1"/>
  <c r="J32" i="1"/>
  <c r="E42" i="1"/>
  <c r="F42" i="1"/>
  <c r="G42" i="1"/>
  <c r="K42" i="1"/>
  <c r="E25" i="1"/>
  <c r="F25" i="1"/>
  <c r="G25" i="1"/>
  <c r="I25" i="1"/>
  <c r="E29" i="1"/>
  <c r="F29" i="1"/>
  <c r="G29" i="1"/>
  <c r="J29" i="1"/>
  <c r="E46" i="1"/>
  <c r="F46" i="1"/>
  <c r="E35" i="1"/>
  <c r="F35" i="1"/>
  <c r="G35" i="1"/>
  <c r="J35" i="1"/>
  <c r="E30" i="1"/>
  <c r="F30" i="1"/>
  <c r="G30" i="1"/>
  <c r="K30" i="1"/>
  <c r="G53" i="1"/>
  <c r="K53" i="1"/>
  <c r="E51" i="1"/>
  <c r="F51" i="1"/>
  <c r="E43" i="1"/>
  <c r="F43" i="1"/>
  <c r="G34" i="1"/>
  <c r="J34" i="1"/>
  <c r="E32" i="1"/>
  <c r="F32" i="1"/>
  <c r="G23" i="1"/>
  <c r="K23" i="1"/>
  <c r="E21" i="1"/>
  <c r="F21" i="1"/>
  <c r="G21" i="1"/>
  <c r="H21" i="1"/>
  <c r="E27" i="1"/>
  <c r="F27" i="1"/>
  <c r="G27" i="1"/>
  <c r="I27" i="1"/>
  <c r="E48" i="1"/>
  <c r="F48" i="1"/>
  <c r="G48" i="1"/>
  <c r="J48" i="1"/>
  <c r="G40" i="1"/>
  <c r="J40" i="1"/>
  <c r="E37" i="1"/>
  <c r="F37" i="1"/>
  <c r="G37" i="1"/>
  <c r="J37" i="1"/>
  <c r="G31" i="1"/>
  <c r="J31" i="1"/>
  <c r="E41" i="1"/>
  <c r="F41" i="1"/>
  <c r="G41" i="1"/>
  <c r="K41" i="1"/>
  <c r="G26" i="1"/>
  <c r="J26" i="1"/>
  <c r="E24" i="1"/>
  <c r="F24" i="1"/>
  <c r="G24" i="1"/>
  <c r="J24" i="1"/>
  <c r="E53" i="1"/>
  <c r="F53" i="1"/>
  <c r="E45" i="1"/>
  <c r="F45" i="1"/>
  <c r="G45" i="1"/>
  <c r="J45" i="1"/>
  <c r="G36" i="1"/>
  <c r="J36" i="1"/>
  <c r="E34" i="1"/>
  <c r="F34" i="1"/>
  <c r="G38" i="1"/>
  <c r="K38" i="1"/>
  <c r="K22" i="1"/>
  <c r="E12" i="2"/>
  <c r="E37" i="2"/>
  <c r="E26" i="2"/>
  <c r="E30" i="2"/>
  <c r="E34" i="2"/>
  <c r="E39" i="2"/>
  <c r="E14" i="2"/>
  <c r="E24" i="2"/>
  <c r="E22" i="2"/>
  <c r="E32" i="2"/>
  <c r="E19" i="2"/>
  <c r="E16" i="2"/>
  <c r="E27" i="2"/>
  <c r="E17" i="2"/>
  <c r="E40" i="2"/>
  <c r="E38" i="2"/>
  <c r="E21" i="2"/>
  <c r="E29" i="2"/>
  <c r="E33" i="2"/>
  <c r="E36" i="2"/>
  <c r="E25" i="2"/>
  <c r="E23" i="2"/>
  <c r="C12" i="1"/>
  <c r="C11" i="1"/>
  <c r="O54" i="1" l="1"/>
  <c r="O28" i="1"/>
  <c r="O52" i="1"/>
  <c r="O47" i="1"/>
  <c r="O36" i="1"/>
  <c r="O37" i="1"/>
  <c r="O22" i="1"/>
  <c r="O24" i="1"/>
  <c r="O31" i="1"/>
  <c r="O43" i="1"/>
  <c r="O50" i="1"/>
  <c r="O38" i="1"/>
  <c r="O44" i="1"/>
  <c r="O53" i="1"/>
  <c r="O27" i="1"/>
  <c r="O51" i="1"/>
  <c r="O32" i="1"/>
  <c r="O48" i="1"/>
  <c r="O21" i="1"/>
  <c r="O33" i="1"/>
  <c r="O30" i="1"/>
  <c r="O45" i="1"/>
  <c r="C15" i="1"/>
  <c r="O23" i="1"/>
  <c r="O49" i="1"/>
  <c r="O40" i="1"/>
  <c r="O46" i="1"/>
  <c r="O25" i="1"/>
  <c r="O35" i="1"/>
  <c r="O42" i="1"/>
  <c r="O34" i="1"/>
  <c r="O39" i="1"/>
  <c r="O41" i="1"/>
  <c r="O26" i="1"/>
  <c r="O29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<sst xmlns="http://schemas.openxmlformats.org/spreadsheetml/2006/main" count="373" uniqueCount="202">
  <si>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</si>
  <si>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</si>
  <si>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</si>
  <si>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</si>
  <si>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</si>
  <si>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</si>
  <si>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</si>
  <si>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</si>
  <si>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</si>
  <si>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</si>
  <si>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</si>
  <si>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</si>
  <si>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</si>
  <si>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</si>
  <si>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</si>
  <si>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</si>
  <si>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</si>
  <si>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</si>
  <si>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</si>
  <si>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</si>
  <si>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</si>
  <si>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</si>
  <si>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</si>
  <si>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</si>
  <si>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</si>
  <si>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</si>
  <si>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</si>
  <si>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</si>
  <si>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</si>
  <si>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</si>
  <si>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</si>
  <si>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</si>
  <si>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</si>
  <si>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</si>
  <si>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</si>
  <si>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RRC</t>
  </si>
  <si>
    <t xml:space="preserve">IT Her / GSC 2112-1845               </t>
  </si>
  <si>
    <t>IBVS 5027</t>
  </si>
  <si>
    <t>I</t>
  </si>
  <si>
    <t>J.M. Kreiner, 2004, Acta Astronomica, vol. 54, pp 207-210.</t>
  </si>
  <si>
    <t>Kreiner</t>
  </si>
  <si>
    <t>Kreiner says it's eclipsing</t>
  </si>
  <si>
    <t>Flat bottom secondary eclipse supports this,</t>
  </si>
  <si>
    <t>IBVS 5929</t>
  </si>
  <si>
    <t>IBVS 5945</t>
  </si>
  <si>
    <t>Add cycle</t>
  </si>
  <si>
    <t>Old Cycle</t>
  </si>
  <si>
    <t>II</t>
  </si>
  <si>
    <t>IBVS 5438</t>
  </si>
  <si>
    <t>IBVS 6010</t>
  </si>
  <si>
    <t>IBVS 6070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</si>
  <si>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</si>
  <si>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</si>
  <si>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</si>
  <si>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</si>
  <si>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</si>
  <si>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</si>
  <si>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</si>
  <si>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</si>
  <si>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</si>
  <si>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</si>
  <si>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</si>
  <si>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</si>
  <si>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</si>
  <si>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2450946.363 </t>
  </si>
  <si>
    <t> 12.05.1998 20:42 </t>
  </si>
  <si>
    <t> -0.027 </t>
  </si>
  <si>
    <t>E </t>
  </si>
  <si>
    <t>?</t>
  </si>
  <si>
    <t> R.Diethelm </t>
  </si>
  <si>
    <t>IBVS 4663 </t>
  </si>
  <si>
    <t>2451274.8872 </t>
  </si>
  <si>
    <t> 06.04.1999 09:17 </t>
  </si>
  <si>
    <t> -0.0492 </t>
  </si>
  <si>
    <t>IBVS 5027 </t>
  </si>
  <si>
    <t>2451296.7743 </t>
  </si>
  <si>
    <t> 28.04.1999 06:34 </t>
  </si>
  <si>
    <t> -0.0878 </t>
  </si>
  <si>
    <t>2451362.4511 </t>
  </si>
  <si>
    <t> 02.07.1999 22:49 </t>
  </si>
  <si>
    <t> -0.0750 </t>
  </si>
  <si>
    <t> E.Blättler </t>
  </si>
  <si>
    <t> BBS 120 </t>
  </si>
  <si>
    <t>2451385.3630 </t>
  </si>
  <si>
    <t> 25.07.1999 20:42 </t>
  </si>
  <si>
    <t> -0.1060 </t>
  </si>
  <si>
    <t> BBS 121 </t>
  </si>
  <si>
    <t>2451404.3676 </t>
  </si>
  <si>
    <t> 13.08.1999 20:49 </t>
  </si>
  <si>
    <t> -0.0886 </t>
  </si>
  <si>
    <t>2452000.507 </t>
  </si>
  <si>
    <t> 01.04.2001 00:10 </t>
  </si>
  <si>
    <t> -0.124 </t>
  </si>
  <si>
    <t> BBS 125 </t>
  </si>
  <si>
    <t>2452143.3906 </t>
  </si>
  <si>
    <t> 21.08.2001 21:22 </t>
  </si>
  <si>
    <t> -0.0968 </t>
  </si>
  <si>
    <t> BBS 126 </t>
  </si>
  <si>
    <t>2452533.3581 </t>
  </si>
  <si>
    <t> 15.09.2002 20:35 </t>
  </si>
  <si>
    <t> -0.1579 </t>
  </si>
  <si>
    <t> BBS 129 </t>
  </si>
  <si>
    <t>2454219.4827 </t>
  </si>
  <si>
    <t> 28.04.2007 23:35 </t>
  </si>
  <si>
    <t> -0.2768 </t>
  </si>
  <si>
    <t>C </t>
  </si>
  <si>
    <t>o</t>
  </si>
  <si>
    <t> U.Schmidt </t>
  </si>
  <si>
    <t>BAVM 215 </t>
  </si>
  <si>
    <t>2454222.5376 </t>
  </si>
  <si>
    <t> 02.05.2007 00:54 </t>
  </si>
  <si>
    <t> -0.2734 </t>
  </si>
  <si>
    <t>-I</t>
  </si>
  <si>
    <t> F.Agerer </t>
  </si>
  <si>
    <t>2454239.5012 </t>
  </si>
  <si>
    <t> 19.05.2007 00:01 </t>
  </si>
  <si>
    <t>108416.5</t>
  </si>
  <si>
    <t> -0.2626 </t>
  </si>
  <si>
    <t>2454597.3983 </t>
  </si>
  <si>
    <t> 10.05.2008 21:33 </t>
  </si>
  <si>
    <t>110000</t>
  </si>
  <si>
    <t> -0.2967 </t>
  </si>
  <si>
    <t>2454597.5701 </t>
  </si>
  <si>
    <t> 11.05.2008 01:40 </t>
  </si>
  <si>
    <t>110001</t>
  </si>
  <si>
    <t> -0.3509 </t>
  </si>
  <si>
    <t>2454598.5769 </t>
  </si>
  <si>
    <t> 12.05.2008 01:50 </t>
  </si>
  <si>
    <t>110005</t>
  </si>
  <si>
    <t> -0.2483 </t>
  </si>
  <si>
    <t>2454600.4542 </t>
  </si>
  <si>
    <t> 13.05.2008 22:54 </t>
  </si>
  <si>
    <t>110013.5</t>
  </si>
  <si>
    <t> -0.2923 </t>
  </si>
  <si>
    <t>2454953.9334 </t>
  </si>
  <si>
    <t> 02.05.2009 10:24 </t>
  </si>
  <si>
    <t>111577.5</t>
  </si>
  <si>
    <t> -0.3365 </t>
  </si>
  <si>
    <t>R</t>
  </si>
  <si>
    <t> R.Nelson </t>
  </si>
  <si>
    <t>IBVS 5929 </t>
  </si>
  <si>
    <t>2454959.5326 </t>
  </si>
  <si>
    <t> 08.05.2009 00:46 </t>
  </si>
  <si>
    <t>111602</t>
  </si>
  <si>
    <t> -0.2753 </t>
  </si>
  <si>
    <t>2454996.5268 </t>
  </si>
  <si>
    <t> 14.06.2009 00:38 </t>
  </si>
  <si>
    <t>111766</t>
  </si>
  <si>
    <t> -0.3513 </t>
  </si>
  <si>
    <t>2455339.8224 </t>
  </si>
  <si>
    <t> 23.05.2010 07:44 </t>
  </si>
  <si>
    <t>113285</t>
  </si>
  <si>
    <t> -0.4074 </t>
  </si>
  <si>
    <t>IBVS 5945 </t>
  </si>
  <si>
    <t>2455379.5308 </t>
  </si>
  <si>
    <t> 02.07.2010 00:44 </t>
  </si>
  <si>
    <t>113460.5</t>
  </si>
  <si>
    <t> -0.3687 </t>
  </si>
  <si>
    <t>2455396.5005 </t>
  </si>
  <si>
    <t> 19.07.2010 00:00 </t>
  </si>
  <si>
    <t>113535.5</t>
  </si>
  <si>
    <t> -0.3518 </t>
  </si>
  <si>
    <t>2455422.4648 </t>
  </si>
  <si>
    <t> 13.08.2010 23:09 </t>
  </si>
  <si>
    <t>113650.5</t>
  </si>
  <si>
    <t> -0.3819 </t>
  </si>
  <si>
    <t> G.Maintz </t>
  </si>
  <si>
    <t>2455498.3220 </t>
  </si>
  <si>
    <t> 28.10.2010 19:43 </t>
  </si>
  <si>
    <t>113986</t>
  </si>
  <si>
    <t> -0.3605 </t>
  </si>
  <si>
    <t>2455711.4589 </t>
  </si>
  <si>
    <t> 29.05.2011 23:00 </t>
  </si>
  <si>
    <t>114929</t>
  </si>
  <si>
    <t> -0.3774 </t>
  </si>
  <si>
    <t>BAVM 220 </t>
  </si>
  <si>
    <t>2455748.4518 </t>
  </si>
  <si>
    <t> 05.07.2011 22:50 </t>
  </si>
  <si>
    <t>115092.5</t>
  </si>
  <si>
    <t> -0.3417 </t>
  </si>
  <si>
    <t> H.Jungbluth </t>
  </si>
  <si>
    <t>2455758.4650 </t>
  </si>
  <si>
    <t> 15.07.2011 23:09 </t>
  </si>
  <si>
    <t>115137</t>
  </si>
  <si>
    <t> -0.3872 </t>
  </si>
  <si>
    <t>2456072.4041 </t>
  </si>
  <si>
    <t> 24.05.2012 21:41 </t>
  </si>
  <si>
    <t>116525.5</t>
  </si>
  <si>
    <t> -0.3019 </t>
  </si>
  <si>
    <t>BAVM 231 </t>
  </si>
  <si>
    <t>2456908.3343 </t>
  </si>
  <si>
    <t> 07.09.2014 20:01 </t>
  </si>
  <si>
    <t>120223.5</t>
  </si>
  <si>
    <t> -0.2602 </t>
  </si>
  <si>
    <t>BAVM 239 </t>
  </si>
  <si>
    <t>2456908.5055 </t>
  </si>
  <si>
    <t> 08.09.2014 00:07 </t>
  </si>
  <si>
    <t>120224</t>
  </si>
  <si>
    <t> -0.2020 </t>
  </si>
  <si>
    <t>IBVS 6154</t>
  </si>
  <si>
    <t>BAD?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</si>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</sst>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trike/>
      <sz val="10"/>
      <name val="Arial"/>
      <family val="2"/>
    </font>
    <font>
      <strike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15" fillId="0" borderId="0" xfId="0" applyFont="1" applyAlignment="1"/>
    <xf numFmtId="0" fontId="1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7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3" xfId="0" applyFont="1" applyBorder="1" applyAlignment="1">
      <alignment horizont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76" fontId="26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Her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E-4665-AD1C-0667E6CB3B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2.3475999914808199E-3</c:v>
                </c:pt>
                <c:pt idx="6">
                  <c:v>-1.4711500043631531E-3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1E-4665-AD1C-0667E6CB3B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-5.9915000019827858E-4</c:v>
                </c:pt>
                <c:pt idx="5">
                  <c:v>1.0011999984271824E-3</c:v>
                </c:pt>
                <c:pt idx="7">
                  <c:v>-1.8610499973874539E-3</c:v>
                </c:pt>
                <c:pt idx="8">
                  <c:v>6.5204999555135146E-4</c:v>
                </c:pt>
                <c:pt idx="10">
                  <c:v>2.9986649999045767E-2</c:v>
                </c:pt>
                <c:pt idx="11">
                  <c:v>3.0359550000866875E-2</c:v>
                </c:pt>
                <c:pt idx="12">
                  <c:v>2.4364550001337193E-2</c:v>
                </c:pt>
                <c:pt idx="13">
                  <c:v>3.2705999998142943E-2</c:v>
                </c:pt>
                <c:pt idx="14">
                  <c:v>3.4810049997759052E-2</c:v>
                </c:pt>
                <c:pt idx="15">
                  <c:v>2.3434349997842219E-2</c:v>
                </c:pt>
                <c:pt idx="16">
                  <c:v>3.4078899996529799E-2</c:v>
                </c:pt>
                <c:pt idx="18">
                  <c:v>3.5848699997586664E-2</c:v>
                </c:pt>
                <c:pt idx="19">
                  <c:v>3.6331599992990959E-2</c:v>
                </c:pt>
                <c:pt idx="22">
                  <c:v>3.6572450000676326E-2</c:v>
                </c:pt>
                <c:pt idx="23">
                  <c:v>3.6677449999842793E-2</c:v>
                </c:pt>
                <c:pt idx="24">
                  <c:v>3.7497099998290651E-2</c:v>
                </c:pt>
                <c:pt idx="25">
                  <c:v>4.060744999878807E-2</c:v>
                </c:pt>
                <c:pt idx="26">
                  <c:v>3.9394249994074926E-2</c:v>
                </c:pt>
                <c:pt idx="27">
                  <c:v>3.8577150000492111E-2</c:v>
                </c:pt>
                <c:pt idx="28">
                  <c:v>3.9716100000077859E-2</c:v>
                </c:pt>
                <c:pt idx="29">
                  <c:v>4.1308599997137208E-2</c:v>
                </c:pt>
                <c:pt idx="30">
                  <c:v>4.9258900005952455E-2</c:v>
                </c:pt>
                <c:pt idx="31">
                  <c:v>5.0762949998897966E-2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1E-4665-AD1C-0667E6CB3B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-1.3889500041841529E-3</c:v>
                </c:pt>
                <c:pt idx="2">
                  <c:v>-5.0665000089793466E-3</c:v>
                </c:pt>
                <c:pt idx="9">
                  <c:v>4.345850000390783E-3</c:v>
                </c:pt>
                <c:pt idx="17">
                  <c:v>3.6615049997635651E-2</c:v>
                </c:pt>
                <c:pt idx="20">
                  <c:v>3.7024749995907769E-2</c:v>
                </c:pt>
                <c:pt idx="21">
                  <c:v>3.7024749995907769E-2</c:v>
                </c:pt>
                <c:pt idx="32">
                  <c:v>5.1143549993867055E-2</c:v>
                </c:pt>
                <c:pt idx="33">
                  <c:v>4.9000150000210851E-2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1E-4665-AD1C-0667E6CB3B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1E-4665-AD1C-0667E6CB3B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1E-4665-AD1C-0667E6CB3B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1E-4665-AD1C-0667E6CB3B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-0.18520139330507504</c:v>
                </c:pt>
                <c:pt idx="1">
                  <c:v>-3.1996208630422074E-4</c:v>
                </c:pt>
                <c:pt idx="2">
                  <c:v>-1.3208185354079971E-4</c:v>
                </c:pt>
                <c:pt idx="3">
                  <c:v>4.3155884474946338E-4</c:v>
                </c:pt>
                <c:pt idx="4">
                  <c:v>6.281776929902283E-4</c:v>
                </c:pt>
                <c:pt idx="5">
                  <c:v>7.9129851523446204E-4</c:v>
                </c:pt>
                <c:pt idx="6">
                  <c:v>5.9077578772336603E-3</c:v>
                </c:pt>
                <c:pt idx="7">
                  <c:v>7.1340769158910189E-3</c:v>
                </c:pt>
                <c:pt idx="8">
                  <c:v>1.0195505204795757E-2</c:v>
                </c:pt>
                <c:pt idx="9">
                  <c:v>1.0480966643723139E-2</c:v>
                </c:pt>
                <c:pt idx="10">
                  <c:v>2.495211387424523E-2</c:v>
                </c:pt>
                <c:pt idx="11">
                  <c:v>2.4978329720677345E-2</c:v>
                </c:pt>
                <c:pt idx="12">
                  <c:v>2.5123973311966807E-2</c:v>
                </c:pt>
                <c:pt idx="13">
                  <c:v>2.8195596652261817E-2</c:v>
                </c:pt>
                <c:pt idx="14">
                  <c:v>2.8197053088174717E-2</c:v>
                </c:pt>
                <c:pt idx="15">
                  <c:v>2.8205791703652089E-2</c:v>
                </c:pt>
                <c:pt idx="16">
                  <c:v>2.8221812498693932E-2</c:v>
                </c:pt>
                <c:pt idx="17">
                  <c:v>3.1255568505253656E-2</c:v>
                </c:pt>
                <c:pt idx="18">
                  <c:v>3.1303630890379186E-2</c:v>
                </c:pt>
                <c:pt idx="19">
                  <c:v>3.1621133919390254E-2</c:v>
                </c:pt>
                <c:pt idx="20">
                  <c:v>3.4567503771176289E-2</c:v>
                </c:pt>
                <c:pt idx="21">
                  <c:v>3.4567503771176289E-2</c:v>
                </c:pt>
                <c:pt idx="22">
                  <c:v>3.4908309774793672E-2</c:v>
                </c:pt>
                <c:pt idx="23">
                  <c:v>3.5053953366083135E-2</c:v>
                </c:pt>
                <c:pt idx="24">
                  <c:v>3.5276788060756042E-2</c:v>
                </c:pt>
                <c:pt idx="25">
                  <c:v>3.5927814913819967E-2</c:v>
                </c:pt>
                <c:pt idx="26">
                  <c:v>3.7757098420415774E-2</c:v>
                </c:pt>
                <c:pt idx="27">
                  <c:v>3.8074601449426815E-2</c:v>
                </c:pt>
                <c:pt idx="28">
                  <c:v>3.8160531168287604E-2</c:v>
                </c:pt>
                <c:pt idx="29">
                  <c:v>4.0854937607142872E-2</c:v>
                </c:pt>
                <c:pt idx="30">
                  <c:v>4.8029340914062357E-2</c:v>
                </c:pt>
                <c:pt idx="31">
                  <c:v>4.8030797349975257E-2</c:v>
                </c:pt>
                <c:pt idx="32">
                  <c:v>5.0145542295498391E-2</c:v>
                </c:pt>
                <c:pt idx="33">
                  <c:v>7.2533875148516308E-2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1E-4665-AD1C-0667E6CB3B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1E-4665-AD1C-0667E6C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038160"/>
        <c:axId val="1"/>
      </c:scatterChart>
      <c:valAx>
        <c:axId val="835038160"/>
        <c:scaling>
          <c:orientation val="minMax"/>
          <c:max val="82000"/>
          <c:min val="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03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Her - O-C Diagr.</a:t>
            </a:r>
          </a:p>
        </c:rich>
      </c:tx>
      <c:layout>
        <c:manualLayout>
          <c:xMode val="edge"/>
          <c:yMode val="edge"/>
          <c:x val="0.3933940239452050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5-47E8-A34C-88865A5138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4">
                  <c:v>2.3475999914808199E-3</c:v>
                </c:pt>
                <c:pt idx="6">
                  <c:v>-1.4711500043631531E-3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5-47E8-A34C-88865A5138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3">
                  <c:v>-5.9915000019827858E-4</c:v>
                </c:pt>
                <c:pt idx="5">
                  <c:v>1.0011999984271824E-3</c:v>
                </c:pt>
                <c:pt idx="7">
                  <c:v>-1.8610499973874539E-3</c:v>
                </c:pt>
                <c:pt idx="8">
                  <c:v>6.5204999555135146E-4</c:v>
                </c:pt>
                <c:pt idx="10">
                  <c:v>2.9986649999045767E-2</c:v>
                </c:pt>
                <c:pt idx="11">
                  <c:v>3.0359550000866875E-2</c:v>
                </c:pt>
                <c:pt idx="12">
                  <c:v>2.4364550001337193E-2</c:v>
                </c:pt>
                <c:pt idx="13">
                  <c:v>3.2705999998142943E-2</c:v>
                </c:pt>
                <c:pt idx="14">
                  <c:v>3.4810049997759052E-2</c:v>
                </c:pt>
                <c:pt idx="15">
                  <c:v>2.3434349997842219E-2</c:v>
                </c:pt>
                <c:pt idx="16">
                  <c:v>3.4078899996529799E-2</c:v>
                </c:pt>
                <c:pt idx="18">
                  <c:v>3.5848699997586664E-2</c:v>
                </c:pt>
                <c:pt idx="19">
                  <c:v>3.6331599992990959E-2</c:v>
                </c:pt>
                <c:pt idx="22">
                  <c:v>3.6572450000676326E-2</c:v>
                </c:pt>
                <c:pt idx="23">
                  <c:v>3.6677449999842793E-2</c:v>
                </c:pt>
                <c:pt idx="24">
                  <c:v>3.7497099998290651E-2</c:v>
                </c:pt>
                <c:pt idx="25">
                  <c:v>4.060744999878807E-2</c:v>
                </c:pt>
                <c:pt idx="26">
                  <c:v>3.9394249994074926E-2</c:v>
                </c:pt>
                <c:pt idx="27">
                  <c:v>3.8577150000492111E-2</c:v>
                </c:pt>
                <c:pt idx="28">
                  <c:v>3.9716100000077859E-2</c:v>
                </c:pt>
                <c:pt idx="29">
                  <c:v>4.1308599997137208E-2</c:v>
                </c:pt>
                <c:pt idx="30">
                  <c:v>4.9258900005952455E-2</c:v>
                </c:pt>
                <c:pt idx="31">
                  <c:v>5.0762949998897966E-2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95-47E8-A34C-88865A5138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-1.3889500041841529E-3</c:v>
                </c:pt>
                <c:pt idx="2">
                  <c:v>-5.0665000089793466E-3</c:v>
                </c:pt>
                <c:pt idx="9">
                  <c:v>4.345850000390783E-3</c:v>
                </c:pt>
                <c:pt idx="17">
                  <c:v>3.6615049997635651E-2</c:v>
                </c:pt>
                <c:pt idx="20">
                  <c:v>3.7024749995907769E-2</c:v>
                </c:pt>
                <c:pt idx="21">
                  <c:v>3.7024749995907769E-2</c:v>
                </c:pt>
                <c:pt idx="32">
                  <c:v>5.1143549993867055E-2</c:v>
                </c:pt>
                <c:pt idx="33">
                  <c:v>4.9000150000210851E-2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95-47E8-A34C-88865A5138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95-47E8-A34C-88865A5138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95-47E8-A34C-88865A5138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1.2999999999999999E-3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9">
                    <c:v>1.4E-3</c:v>
                  </c:pt>
                  <c:pt idx="10">
                    <c:v>2.7000000000000001E-3</c:v>
                  </c:pt>
                  <c:pt idx="11">
                    <c:v>1E-3</c:v>
                  </c:pt>
                  <c:pt idx="12">
                    <c:v>2.8999999999999998E-3</c:v>
                  </c:pt>
                  <c:pt idx="13">
                    <c:v>3.5000000000000001E-3</c:v>
                  </c:pt>
                  <c:pt idx="14">
                    <c:v>4.5999999999999999E-3</c:v>
                  </c:pt>
                  <c:pt idx="15">
                    <c:v>2.3E-3</c:v>
                  </c:pt>
                  <c:pt idx="16">
                    <c:v>4.0000000000000002E-4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1.8E-3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2.3E-3</c:v>
                  </c:pt>
                  <c:pt idx="24">
                    <c:v>1E-4</c:v>
                  </c:pt>
                  <c:pt idx="25">
                    <c:v>4.0000000000000002E-4</c:v>
                  </c:pt>
                  <c:pt idx="26">
                    <c:v>1.8E-3</c:v>
                  </c:pt>
                  <c:pt idx="27">
                    <c:v>1.6999999999999999E-3</c:v>
                  </c:pt>
                  <c:pt idx="28">
                    <c:v>2.8999999999999998E-3</c:v>
                  </c:pt>
                  <c:pt idx="29">
                    <c:v>1.6000000000000001E-3</c:v>
                  </c:pt>
                  <c:pt idx="30">
                    <c:v>6.9999999999999999E-4</c:v>
                  </c:pt>
                  <c:pt idx="31">
                    <c:v>6.0000000000000001E-3</c:v>
                  </c:pt>
                  <c:pt idx="32">
                    <c:v>2.9999999999999997E-4</c:v>
                  </c:pt>
                  <c:pt idx="3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95-47E8-A34C-88865A5138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63470.5</c:v>
                </c:pt>
                <c:pt idx="2">
                  <c:v>63535</c:v>
                </c:pt>
                <c:pt idx="3">
                  <c:v>63728.5</c:v>
                </c:pt>
                <c:pt idx="4">
                  <c:v>63796</c:v>
                </c:pt>
                <c:pt idx="5">
                  <c:v>63852</c:v>
                </c:pt>
                <c:pt idx="6">
                  <c:v>65608.5</c:v>
                </c:pt>
                <c:pt idx="7">
                  <c:v>66029.5</c:v>
                </c:pt>
                <c:pt idx="8">
                  <c:v>67080.5</c:v>
                </c:pt>
                <c:pt idx="9">
                  <c:v>67178.5</c:v>
                </c:pt>
                <c:pt idx="10">
                  <c:v>72146.5</c:v>
                </c:pt>
                <c:pt idx="11">
                  <c:v>72155.5</c:v>
                </c:pt>
                <c:pt idx="12">
                  <c:v>72205.5</c:v>
                </c:pt>
                <c:pt idx="13">
                  <c:v>73260</c:v>
                </c:pt>
                <c:pt idx="14">
                  <c:v>73260.5</c:v>
                </c:pt>
                <c:pt idx="15">
                  <c:v>73263.5</c:v>
                </c:pt>
                <c:pt idx="16">
                  <c:v>73269</c:v>
                </c:pt>
                <c:pt idx="17">
                  <c:v>74310.5</c:v>
                </c:pt>
                <c:pt idx="18">
                  <c:v>74327</c:v>
                </c:pt>
                <c:pt idx="19">
                  <c:v>74436</c:v>
                </c:pt>
                <c:pt idx="20">
                  <c:v>75447.5</c:v>
                </c:pt>
                <c:pt idx="21">
                  <c:v>75447.5</c:v>
                </c:pt>
                <c:pt idx="22">
                  <c:v>75564.5</c:v>
                </c:pt>
                <c:pt idx="23">
                  <c:v>75614.5</c:v>
                </c:pt>
                <c:pt idx="24">
                  <c:v>75691</c:v>
                </c:pt>
                <c:pt idx="25">
                  <c:v>75914.5</c:v>
                </c:pt>
                <c:pt idx="26">
                  <c:v>76542.5</c:v>
                </c:pt>
                <c:pt idx="27">
                  <c:v>76651.5</c:v>
                </c:pt>
                <c:pt idx="28">
                  <c:v>76681</c:v>
                </c:pt>
                <c:pt idx="29">
                  <c:v>77606</c:v>
                </c:pt>
                <c:pt idx="30">
                  <c:v>80069</c:v>
                </c:pt>
                <c:pt idx="31">
                  <c:v>80069.5</c:v>
                </c:pt>
                <c:pt idx="32">
                  <c:v>80795.5</c:v>
                </c:pt>
                <c:pt idx="33">
                  <c:v>88481.5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-0.18520139330507504</c:v>
                </c:pt>
                <c:pt idx="1">
                  <c:v>-3.1996208630422074E-4</c:v>
                </c:pt>
                <c:pt idx="2">
                  <c:v>-1.3208185354079971E-4</c:v>
                </c:pt>
                <c:pt idx="3">
                  <c:v>4.3155884474946338E-4</c:v>
                </c:pt>
                <c:pt idx="4">
                  <c:v>6.281776929902283E-4</c:v>
                </c:pt>
                <c:pt idx="5">
                  <c:v>7.9129851523446204E-4</c:v>
                </c:pt>
                <c:pt idx="6">
                  <c:v>5.9077578772336603E-3</c:v>
                </c:pt>
                <c:pt idx="7">
                  <c:v>7.1340769158910189E-3</c:v>
                </c:pt>
                <c:pt idx="8">
                  <c:v>1.0195505204795757E-2</c:v>
                </c:pt>
                <c:pt idx="9">
                  <c:v>1.0480966643723139E-2</c:v>
                </c:pt>
                <c:pt idx="10">
                  <c:v>2.495211387424523E-2</c:v>
                </c:pt>
                <c:pt idx="11">
                  <c:v>2.4978329720677345E-2</c:v>
                </c:pt>
                <c:pt idx="12">
                  <c:v>2.5123973311966807E-2</c:v>
                </c:pt>
                <c:pt idx="13">
                  <c:v>2.8195596652261817E-2</c:v>
                </c:pt>
                <c:pt idx="14">
                  <c:v>2.8197053088174717E-2</c:v>
                </c:pt>
                <c:pt idx="15">
                  <c:v>2.8205791703652089E-2</c:v>
                </c:pt>
                <c:pt idx="16">
                  <c:v>2.8221812498693932E-2</c:v>
                </c:pt>
                <c:pt idx="17">
                  <c:v>3.1255568505253656E-2</c:v>
                </c:pt>
                <c:pt idx="18">
                  <c:v>3.1303630890379186E-2</c:v>
                </c:pt>
                <c:pt idx="19">
                  <c:v>3.1621133919390254E-2</c:v>
                </c:pt>
                <c:pt idx="20">
                  <c:v>3.4567503771176289E-2</c:v>
                </c:pt>
                <c:pt idx="21">
                  <c:v>3.4567503771176289E-2</c:v>
                </c:pt>
                <c:pt idx="22">
                  <c:v>3.4908309774793672E-2</c:v>
                </c:pt>
                <c:pt idx="23">
                  <c:v>3.5053953366083135E-2</c:v>
                </c:pt>
                <c:pt idx="24">
                  <c:v>3.5276788060756042E-2</c:v>
                </c:pt>
                <c:pt idx="25">
                  <c:v>3.5927814913819967E-2</c:v>
                </c:pt>
                <c:pt idx="26">
                  <c:v>3.7757098420415774E-2</c:v>
                </c:pt>
                <c:pt idx="27">
                  <c:v>3.8074601449426815E-2</c:v>
                </c:pt>
                <c:pt idx="28">
                  <c:v>3.8160531168287604E-2</c:v>
                </c:pt>
                <c:pt idx="29">
                  <c:v>4.0854937607142872E-2</c:v>
                </c:pt>
                <c:pt idx="30">
                  <c:v>4.8029340914062357E-2</c:v>
                </c:pt>
                <c:pt idx="31">
                  <c:v>4.8030797349975257E-2</c:v>
                </c:pt>
                <c:pt idx="32">
                  <c:v>5.0145542295498391E-2</c:v>
                </c:pt>
                <c:pt idx="33">
                  <c:v>7.2533875148516308E-2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95-47E8-A34C-88865A51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40920"/>
        <c:axId val="1"/>
      </c:scatterChart>
      <c:valAx>
        <c:axId val="53214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140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75106602665659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ED44A8B-53C9-3B4C-7F4E-7CA1B7CD39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95250</xdr:colOff>
      <xdr:row>0</xdr:row>
      <xdr:rowOff>0</xdr:rowOff>
    </xdr:from>
    <xdr:to>
      <xdr:col>27</xdr:col>
      <xdr:colOff>266700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4406A05-16D5-2262-1474-6A12FF9FD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konkoly.hu/cgi-bin/IBVS?5027" TargetMode="External"/><Relationship Id="rId21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215" TargetMode="External"/><Relationship Id="rId12" Type="http://schemas.openxmlformats.org/officeDocument/2006/relationships/hyperlink" Target="http://www.bav-astro.de/sfs/BAVM_link.php?BAVMnr=215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konkoly.hu/cgi-bin/IBVS?5027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konkoly.hu/cgi-bin/IBVS?4663" TargetMode="External"/><Relationship Id="rId6" Type="http://schemas.openxmlformats.org/officeDocument/2006/relationships/hyperlink" Target="http://www.bav-astro.de/sfs/BAVM_link.php?BAVMnr=215" TargetMode="External"/><Relationship Id="rId11" Type="http://schemas.openxmlformats.org/officeDocument/2006/relationships/hyperlink" Target="http://www.konkoly.hu/cgi-bin/IBVS?5929" TargetMode="External"/><Relationship Id="rId24" Type="http://schemas.openxmlformats.org/officeDocument/2006/relationships/hyperlink" Target="http://www.bav-astro.de/sfs/BAVM_link.php?BAVMnr=239" TargetMode="External"/><Relationship Id="rId5" Type="http://schemas.openxmlformats.org/officeDocument/2006/relationships/hyperlink" Target="http://www.bav-astro.de/sfs/BAVM_link.php?BAVMnr=215" TargetMode="External"/><Relationship Id="rId15" Type="http://schemas.openxmlformats.org/officeDocument/2006/relationships/hyperlink" Target="http://www.bav-astro.de/sfs/BAVM_link.php?BAVMnr=215" TargetMode="External"/><Relationship Id="rId23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bav-astro.de/sfs/BAVM_link.php?BAVMnr=215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5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hyperlink" Target="http://www.konkoly.hu/cgi-bin/IBVS?5945" TargetMode="External"/><Relationship Id="rId22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37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29" t="s">
        <v>35</v>
      </c>
      <c r="C2" s="30" t="s">
        <v>41</v>
      </c>
      <c r="D2" s="3"/>
    </row>
    <row r="3" spans="1:6" ht="13.5" thickBot="1" x14ac:dyDescent="0.25">
      <c r="C3" s="5" t="s">
        <v>42</v>
      </c>
    </row>
    <row r="4" spans="1:6" ht="14.25" thickTop="1" thickBot="1" x14ac:dyDescent="0.25">
      <c r="A4" s="5" t="s">
        <v>0</v>
      </c>
      <c r="C4" s="8">
        <v>29733.514999999999</v>
      </c>
      <c r="D4" s="27">
        <v>0.22603799999999999</v>
      </c>
    </row>
    <row r="5" spans="1:6" ht="13.5" thickTop="1" x14ac:dyDescent="0.2">
      <c r="A5" s="10" t="s">
        <v>29</v>
      </c>
      <c r="B5" s="11"/>
      <c r="C5" s="12">
        <v>-9.5</v>
      </c>
      <c r="D5" s="11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29733.514999999999</v>
      </c>
    </row>
    <row r="8" spans="1:6" x14ac:dyDescent="0.2">
      <c r="A8" t="s">
        <v>3</v>
      </c>
      <c r="C8">
        <v>0.33939190000000002</v>
      </c>
      <c r="D8" s="28" t="s">
        <v>39</v>
      </c>
    </row>
    <row r="9" spans="1:6" x14ac:dyDescent="0.2">
      <c r="A9" s="25" t="s">
        <v>34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22">
        <f ca="1">INTERCEPT(INDIRECT($D$9):G991,INDIRECT($C$9):F991)</f>
        <v>-0.18520139330507504</v>
      </c>
      <c r="D11" s="3"/>
      <c r="E11" s="11"/>
    </row>
    <row r="12" spans="1:6" x14ac:dyDescent="0.2">
      <c r="A12" s="11" t="s">
        <v>17</v>
      </c>
      <c r="B12" s="11"/>
      <c r="C12" s="22">
        <f ca="1">SLOPE(INDIRECT($D$9):G991,INDIRECT($C$9):F991)</f>
        <v>2.9128718257894739E-6</v>
      </c>
      <c r="D12" s="3"/>
      <c r="E12" s="11"/>
    </row>
    <row r="13" spans="1:6" x14ac:dyDescent="0.2">
      <c r="A13" s="11" t="s">
        <v>19</v>
      </c>
      <c r="B13" s="11"/>
      <c r="C13" s="3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(C7+C11)+(C8+C12)*INT(MAX(F21:F3532))</f>
        <v>59763.322236318716</v>
      </c>
      <c r="E15" s="15" t="s">
        <v>45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0.33939481287182582</v>
      </c>
      <c r="E16" s="15" t="s">
        <v>31</v>
      </c>
      <c r="F16" s="16">
        <f ca="1">NOW()+15018.5+$C$5/24</f>
        <v>59958.80209571759</v>
      </c>
    </row>
    <row r="17" spans="1:21" ht="13.5" thickBot="1" x14ac:dyDescent="0.25">
      <c r="A17" s="15" t="s">
        <v>28</v>
      </c>
      <c r="B17" s="11"/>
      <c r="C17" s="11">
        <f>COUNT(C21:C2190)</f>
        <v>34</v>
      </c>
      <c r="E17" s="15" t="s">
        <v>46</v>
      </c>
      <c r="F17" s="16">
        <f ca="1">ROUND(2*(F16-$C$7)/$C$8,0)/2+F15</f>
        <v>89058</v>
      </c>
    </row>
    <row r="18" spans="1:21" ht="14.25" thickTop="1" thickBot="1" x14ac:dyDescent="0.25">
      <c r="A18" s="17" t="s">
        <v>5</v>
      </c>
      <c r="B18" s="11"/>
      <c r="C18" s="20">
        <f ca="1">+C15</f>
        <v>59763.322236318716</v>
      </c>
      <c r="D18" s="21">
        <f ca="1">+C16</f>
        <v>0.33939481287182582</v>
      </c>
      <c r="E18" s="15" t="s">
        <v>32</v>
      </c>
      <c r="F18" s="24">
        <f ca="1">ROUND(2*(F16-$C$15)/$C$16,0)/2+F15</f>
        <v>577</v>
      </c>
    </row>
    <row r="19" spans="1:21" ht="13.5" thickTop="1" x14ac:dyDescent="0.2">
      <c r="E19" s="15" t="s">
        <v>33</v>
      </c>
      <c r="F19" s="19">
        <f ca="1">+$C$15+$C$16*F18-15018.5-$C$5/24</f>
        <v>44941.048876679095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64" t="s">
        <v>200</v>
      </c>
    </row>
    <row r="21" spans="1:21" x14ac:dyDescent="0.2">
      <c r="A21" s="32" t="s">
        <v>12</v>
      </c>
      <c r="B21" s="32"/>
      <c r="C21" s="33">
        <v>29733.514999999999</v>
      </c>
      <c r="D21" s="33" t="s">
        <v>14</v>
      </c>
      <c r="E21">
        <f t="shared" ref="E21:E53" si="0">+(C21-C$7)/C$8</f>
        <v>0</v>
      </c>
      <c r="F21">
        <f t="shared" ref="F21:F53" si="1">ROUND(2*E21,0)/2</f>
        <v>0</v>
      </c>
      <c r="G21">
        <f t="shared" ref="G21:G53" si="2">+C21-(C$7+F21*C$8)</f>
        <v>0</v>
      </c>
      <c r="H21">
        <f>+G21</f>
        <v>0</v>
      </c>
      <c r="O21">
        <f t="shared" ref="O21:O53" ca="1" si="3">+C$11+C$12*$F21</f>
        <v>-0.18520139330507504</v>
      </c>
      <c r="Q21" s="2">
        <f t="shared" ref="Q21:Q53" si="4">+C21-15018.5</f>
        <v>14715.014999999999</v>
      </c>
    </row>
    <row r="22" spans="1:21" x14ac:dyDescent="0.2">
      <c r="A22" s="34" t="s">
        <v>37</v>
      </c>
      <c r="B22" s="35" t="s">
        <v>38</v>
      </c>
      <c r="C22" s="34">
        <v>51274.887199999997</v>
      </c>
      <c r="D22" s="34">
        <v>1.2999999999999999E-3</v>
      </c>
      <c r="E22">
        <f t="shared" si="0"/>
        <v>63470.495907533434</v>
      </c>
      <c r="F22">
        <f t="shared" si="1"/>
        <v>63470.5</v>
      </c>
      <c r="G22">
        <f t="shared" si="2"/>
        <v>-1.3889500041841529E-3</v>
      </c>
      <c r="K22">
        <f>+G22</f>
        <v>-1.3889500041841529E-3</v>
      </c>
      <c r="O22">
        <f t="shared" ca="1" si="3"/>
        <v>-3.1996208630422074E-4</v>
      </c>
      <c r="Q22" s="2">
        <f t="shared" si="4"/>
        <v>36256.387199999997</v>
      </c>
    </row>
    <row r="23" spans="1:21" x14ac:dyDescent="0.2">
      <c r="A23" s="36" t="s">
        <v>37</v>
      </c>
      <c r="B23" s="37" t="s">
        <v>47</v>
      </c>
      <c r="C23" s="36">
        <v>51296.774299999997</v>
      </c>
      <c r="D23" s="36">
        <v>2.7000000000000001E-3</v>
      </c>
      <c r="E23">
        <f t="shared" si="0"/>
        <v>63534.985071829928</v>
      </c>
      <c r="F23">
        <f t="shared" si="1"/>
        <v>63535</v>
      </c>
      <c r="G23">
        <f t="shared" si="2"/>
        <v>-5.0665000089793466E-3</v>
      </c>
      <c r="K23">
        <f>+G23</f>
        <v>-5.0665000089793466E-3</v>
      </c>
      <c r="O23">
        <f t="shared" ca="1" si="3"/>
        <v>-1.3208185354079971E-4</v>
      </c>
      <c r="Q23" s="2">
        <f t="shared" si="4"/>
        <v>36278.274299999997</v>
      </c>
    </row>
    <row r="24" spans="1:21" x14ac:dyDescent="0.2">
      <c r="A24" s="61" t="s">
        <v>82</v>
      </c>
      <c r="B24" s="63" t="s">
        <v>47</v>
      </c>
      <c r="C24" s="62">
        <v>51362.451099999998</v>
      </c>
      <c r="D24" s="62" t="s">
        <v>63</v>
      </c>
      <c r="E24">
        <f t="shared" si="0"/>
        <v>63728.498234636703</v>
      </c>
      <c r="F24">
        <f t="shared" si="1"/>
        <v>63728.5</v>
      </c>
      <c r="G24">
        <f t="shared" si="2"/>
        <v>-5.9915000019827858E-4</v>
      </c>
      <c r="J24">
        <f>+G24</f>
        <v>-5.9915000019827858E-4</v>
      </c>
      <c r="O24">
        <f t="shared" ca="1" si="3"/>
        <v>4.3155884474946338E-4</v>
      </c>
      <c r="Q24" s="2">
        <f t="shared" si="4"/>
        <v>36343.951099999998</v>
      </c>
    </row>
    <row r="25" spans="1:21" x14ac:dyDescent="0.2">
      <c r="A25" s="61" t="s">
        <v>86</v>
      </c>
      <c r="B25" s="63" t="s">
        <v>38</v>
      </c>
      <c r="C25" s="62">
        <v>51385.362999999998</v>
      </c>
      <c r="D25" s="62" t="s">
        <v>63</v>
      </c>
      <c r="E25">
        <f t="shared" si="0"/>
        <v>63796.006917077269</v>
      </c>
      <c r="F25">
        <f t="shared" si="1"/>
        <v>63796</v>
      </c>
      <c r="G25">
        <f t="shared" si="2"/>
        <v>2.3475999914808199E-3</v>
      </c>
      <c r="I25">
        <f>+G25</f>
        <v>2.3475999914808199E-3</v>
      </c>
      <c r="O25">
        <f t="shared" ca="1" si="3"/>
        <v>6.281776929902283E-4</v>
      </c>
      <c r="Q25" s="2">
        <f t="shared" si="4"/>
        <v>36366.862999999998</v>
      </c>
    </row>
    <row r="26" spans="1:21" x14ac:dyDescent="0.2">
      <c r="A26" s="61" t="s">
        <v>86</v>
      </c>
      <c r="B26" s="63" t="s">
        <v>38</v>
      </c>
      <c r="C26" s="62">
        <v>51404.367599999998</v>
      </c>
      <c r="D26" s="62" t="s">
        <v>63</v>
      </c>
      <c r="E26">
        <f t="shared" si="0"/>
        <v>63852.002949982001</v>
      </c>
      <c r="F26">
        <f t="shared" si="1"/>
        <v>63852</v>
      </c>
      <c r="G26">
        <f t="shared" si="2"/>
        <v>1.0011999984271824E-3</v>
      </c>
      <c r="J26">
        <f>+G26</f>
        <v>1.0011999984271824E-3</v>
      </c>
      <c r="O26">
        <f t="shared" ca="1" si="3"/>
        <v>7.9129851523446204E-4</v>
      </c>
      <c r="Q26" s="2">
        <f t="shared" si="4"/>
        <v>36385.867599999998</v>
      </c>
    </row>
    <row r="27" spans="1:21" x14ac:dyDescent="0.2">
      <c r="A27" s="61" t="s">
        <v>93</v>
      </c>
      <c r="B27" s="63" t="s">
        <v>47</v>
      </c>
      <c r="C27" s="62">
        <v>52000.506999999998</v>
      </c>
      <c r="D27" s="62" t="s">
        <v>63</v>
      </c>
      <c r="E27">
        <f t="shared" si="0"/>
        <v>65608.495665335548</v>
      </c>
      <c r="F27">
        <f t="shared" si="1"/>
        <v>65608.5</v>
      </c>
      <c r="G27">
        <f t="shared" si="2"/>
        <v>-1.4711500043631531E-3</v>
      </c>
      <c r="I27">
        <f>+G27</f>
        <v>-1.4711500043631531E-3</v>
      </c>
      <c r="O27">
        <f t="shared" ca="1" si="3"/>
        <v>5.9077578772336603E-3</v>
      </c>
      <c r="Q27" s="2">
        <f t="shared" si="4"/>
        <v>36982.006999999998</v>
      </c>
    </row>
    <row r="28" spans="1:21" x14ac:dyDescent="0.2">
      <c r="A28" s="61" t="s">
        <v>97</v>
      </c>
      <c r="B28" s="63" t="s">
        <v>47</v>
      </c>
      <c r="C28" s="62">
        <v>52143.390599999999</v>
      </c>
      <c r="D28" s="62" t="s">
        <v>63</v>
      </c>
      <c r="E28">
        <f t="shared" si="0"/>
        <v>66029.494516516148</v>
      </c>
      <c r="F28">
        <f t="shared" si="1"/>
        <v>66029.5</v>
      </c>
      <c r="G28">
        <f t="shared" si="2"/>
        <v>-1.8610499973874539E-3</v>
      </c>
      <c r="J28">
        <f>+G28</f>
        <v>-1.8610499973874539E-3</v>
      </c>
      <c r="O28">
        <f t="shared" ca="1" si="3"/>
        <v>7.1340769158910189E-3</v>
      </c>
      <c r="Q28" s="2">
        <f t="shared" si="4"/>
        <v>37124.890599999999</v>
      </c>
    </row>
    <row r="29" spans="1:21" x14ac:dyDescent="0.2">
      <c r="A29" s="32" t="s">
        <v>40</v>
      </c>
      <c r="B29" s="32"/>
      <c r="C29" s="38">
        <v>52500.093999999997</v>
      </c>
      <c r="D29" s="33"/>
      <c r="E29">
        <f t="shared" si="0"/>
        <v>67080.501921230287</v>
      </c>
      <c r="F29">
        <f t="shared" si="1"/>
        <v>67080.5</v>
      </c>
      <c r="G29">
        <f t="shared" si="2"/>
        <v>6.5204999555135146E-4</v>
      </c>
      <c r="J29">
        <f>+G29</f>
        <v>6.5204999555135146E-4</v>
      </c>
      <c r="O29">
        <f t="shared" ca="1" si="3"/>
        <v>1.0195505204795757E-2</v>
      </c>
      <c r="Q29" s="2">
        <f t="shared" si="4"/>
        <v>37481.593999999997</v>
      </c>
      <c r="S29" s="31" t="s">
        <v>39</v>
      </c>
    </row>
    <row r="30" spans="1:21" x14ac:dyDescent="0.2">
      <c r="A30" s="36" t="s">
        <v>48</v>
      </c>
      <c r="B30" s="37" t="s">
        <v>38</v>
      </c>
      <c r="C30" s="36">
        <v>52533.358099999998</v>
      </c>
      <c r="D30" s="36">
        <v>1.4E-3</v>
      </c>
      <c r="E30">
        <f t="shared" si="0"/>
        <v>67178.512804813538</v>
      </c>
      <c r="F30">
        <f t="shared" si="1"/>
        <v>67178.5</v>
      </c>
      <c r="G30">
        <f t="shared" si="2"/>
        <v>4.345850000390783E-3</v>
      </c>
      <c r="K30">
        <f>+G30</f>
        <v>4.345850000390783E-3</v>
      </c>
      <c r="O30">
        <f t="shared" ca="1" si="3"/>
        <v>1.0480966643723139E-2</v>
      </c>
      <c r="Q30" s="2">
        <f t="shared" si="4"/>
        <v>37514.858099999998</v>
      </c>
    </row>
    <row r="31" spans="1:21" x14ac:dyDescent="0.2">
      <c r="A31" s="44" t="s">
        <v>51</v>
      </c>
      <c r="B31" s="44"/>
      <c r="C31" s="45">
        <v>54219.4827</v>
      </c>
      <c r="D31" s="45">
        <v>2.7000000000000001E-3</v>
      </c>
      <c r="E31">
        <f t="shared" si="0"/>
        <v>72146.588354053238</v>
      </c>
      <c r="F31">
        <f t="shared" si="1"/>
        <v>72146.5</v>
      </c>
      <c r="G31">
        <f t="shared" si="2"/>
        <v>2.9986649999045767E-2</v>
      </c>
      <c r="J31">
        <f t="shared" ref="J31:J37" si="5">+G31</f>
        <v>2.9986649999045767E-2</v>
      </c>
      <c r="O31">
        <f t="shared" ca="1" si="3"/>
        <v>2.495211387424523E-2</v>
      </c>
      <c r="Q31" s="2">
        <f t="shared" si="4"/>
        <v>39200.9827</v>
      </c>
    </row>
    <row r="32" spans="1:21" x14ac:dyDescent="0.2">
      <c r="A32" s="44" t="s">
        <v>51</v>
      </c>
      <c r="B32" s="44"/>
      <c r="C32" s="45">
        <v>54222.537600000003</v>
      </c>
      <c r="D32" s="45">
        <v>1E-3</v>
      </c>
      <c r="E32">
        <f t="shared" si="0"/>
        <v>72155.589452783053</v>
      </c>
      <c r="F32">
        <f t="shared" si="1"/>
        <v>72155.5</v>
      </c>
      <c r="G32">
        <f t="shared" si="2"/>
        <v>3.0359550000866875E-2</v>
      </c>
      <c r="J32">
        <f t="shared" si="5"/>
        <v>3.0359550000866875E-2</v>
      </c>
      <c r="O32">
        <f t="shared" ca="1" si="3"/>
        <v>2.4978329720677345E-2</v>
      </c>
      <c r="Q32" s="2">
        <f t="shared" si="4"/>
        <v>39204.037600000003</v>
      </c>
    </row>
    <row r="33" spans="1:17" x14ac:dyDescent="0.2">
      <c r="A33" s="44" t="s">
        <v>51</v>
      </c>
      <c r="B33" s="44"/>
      <c r="C33" s="45">
        <v>54239.501199999999</v>
      </c>
      <c r="D33" s="45">
        <v>2.8999999999999998E-3</v>
      </c>
      <c r="E33">
        <f t="shared" si="0"/>
        <v>72205.571788837624</v>
      </c>
      <c r="F33">
        <f t="shared" si="1"/>
        <v>72205.5</v>
      </c>
      <c r="G33">
        <f t="shared" si="2"/>
        <v>2.4364550001337193E-2</v>
      </c>
      <c r="J33">
        <f t="shared" si="5"/>
        <v>2.4364550001337193E-2</v>
      </c>
      <c r="O33">
        <f t="shared" ca="1" si="3"/>
        <v>2.5123973311966807E-2</v>
      </c>
      <c r="Q33" s="2">
        <f t="shared" si="4"/>
        <v>39221.001199999999</v>
      </c>
    </row>
    <row r="34" spans="1:17" x14ac:dyDescent="0.2">
      <c r="A34" s="44" t="s">
        <v>51</v>
      </c>
      <c r="B34" s="44"/>
      <c r="C34" s="45">
        <v>54597.398300000001</v>
      </c>
      <c r="D34" s="45">
        <v>3.5000000000000001E-3</v>
      </c>
      <c r="E34">
        <f t="shared" si="0"/>
        <v>73260.096366471917</v>
      </c>
      <c r="F34">
        <f t="shared" si="1"/>
        <v>73260</v>
      </c>
      <c r="G34">
        <f t="shared" si="2"/>
        <v>3.2705999998142943E-2</v>
      </c>
      <c r="J34">
        <f t="shared" si="5"/>
        <v>3.2705999998142943E-2</v>
      </c>
      <c r="O34">
        <f t="shared" ca="1" si="3"/>
        <v>2.8195596652261817E-2</v>
      </c>
      <c r="Q34" s="2">
        <f t="shared" si="4"/>
        <v>39578.898300000001</v>
      </c>
    </row>
    <row r="35" spans="1:17" x14ac:dyDescent="0.2">
      <c r="A35" s="44" t="s">
        <v>51</v>
      </c>
      <c r="B35" s="44"/>
      <c r="C35" s="45">
        <v>54597.570099999997</v>
      </c>
      <c r="D35" s="45">
        <v>4.5999999999999999E-3</v>
      </c>
      <c r="E35">
        <f t="shared" si="0"/>
        <v>73260.602565942187</v>
      </c>
      <c r="F35">
        <f t="shared" si="1"/>
        <v>73260.5</v>
      </c>
      <c r="G35">
        <f t="shared" si="2"/>
        <v>3.4810049997759052E-2</v>
      </c>
      <c r="J35">
        <f t="shared" si="5"/>
        <v>3.4810049997759052E-2</v>
      </c>
      <c r="O35">
        <f t="shared" ca="1" si="3"/>
        <v>2.8197053088174717E-2</v>
      </c>
      <c r="Q35" s="2">
        <f t="shared" si="4"/>
        <v>39579.070099999997</v>
      </c>
    </row>
    <row r="36" spans="1:17" x14ac:dyDescent="0.2">
      <c r="A36" s="44" t="s">
        <v>51</v>
      </c>
      <c r="B36" s="44"/>
      <c r="C36" s="45">
        <v>54598.5769</v>
      </c>
      <c r="D36" s="45">
        <v>2.3E-3</v>
      </c>
      <c r="E36">
        <f t="shared" si="0"/>
        <v>73263.569048053294</v>
      </c>
      <c r="F36">
        <f t="shared" si="1"/>
        <v>73263.5</v>
      </c>
      <c r="G36">
        <f t="shared" si="2"/>
        <v>2.3434349997842219E-2</v>
      </c>
      <c r="J36">
        <f t="shared" si="5"/>
        <v>2.3434349997842219E-2</v>
      </c>
      <c r="O36">
        <f t="shared" ca="1" si="3"/>
        <v>2.8205791703652089E-2</v>
      </c>
      <c r="Q36" s="2">
        <f t="shared" si="4"/>
        <v>39580.0769</v>
      </c>
    </row>
    <row r="37" spans="1:17" x14ac:dyDescent="0.2">
      <c r="A37" s="44" t="s">
        <v>51</v>
      </c>
      <c r="B37" s="44"/>
      <c r="C37" s="45">
        <v>54600.4542</v>
      </c>
      <c r="D37" s="45">
        <v>4.0000000000000002E-4</v>
      </c>
      <c r="E37">
        <f t="shared" si="0"/>
        <v>73269.100411648004</v>
      </c>
      <c r="F37">
        <f t="shared" si="1"/>
        <v>73269</v>
      </c>
      <c r="G37">
        <f t="shared" si="2"/>
        <v>3.4078899996529799E-2</v>
      </c>
      <c r="J37">
        <f t="shared" si="5"/>
        <v>3.4078899996529799E-2</v>
      </c>
      <c r="O37">
        <f t="shared" ca="1" si="3"/>
        <v>2.8221812498693932E-2</v>
      </c>
      <c r="Q37" s="2">
        <f t="shared" si="4"/>
        <v>39581.9542</v>
      </c>
    </row>
    <row r="38" spans="1:17" x14ac:dyDescent="0.2">
      <c r="A38" s="39" t="s">
        <v>43</v>
      </c>
      <c r="B38" s="32"/>
      <c r="C38" s="33">
        <v>54953.933400000002</v>
      </c>
      <c r="D38" s="33">
        <v>2.9999999999999997E-4</v>
      </c>
      <c r="E38">
        <f t="shared" si="0"/>
        <v>74310.607884277735</v>
      </c>
      <c r="F38">
        <f t="shared" si="1"/>
        <v>74310.5</v>
      </c>
      <c r="G38">
        <f t="shared" si="2"/>
        <v>3.6615049997635651E-2</v>
      </c>
      <c r="K38">
        <f>+G38</f>
        <v>3.6615049997635651E-2</v>
      </c>
      <c r="O38">
        <f t="shared" ca="1" si="3"/>
        <v>3.1255568505253656E-2</v>
      </c>
      <c r="Q38" s="2">
        <f t="shared" si="4"/>
        <v>39935.433400000002</v>
      </c>
    </row>
    <row r="39" spans="1:17" x14ac:dyDescent="0.2">
      <c r="A39" s="44" t="s">
        <v>51</v>
      </c>
      <c r="B39" s="44"/>
      <c r="C39" s="45">
        <v>54959.532599999999</v>
      </c>
      <c r="D39" s="45">
        <v>2.9999999999999997E-4</v>
      </c>
      <c r="E39">
        <f t="shared" si="0"/>
        <v>74327.105626268618</v>
      </c>
      <c r="F39">
        <f t="shared" si="1"/>
        <v>74327</v>
      </c>
      <c r="G39">
        <f t="shared" si="2"/>
        <v>3.5848699997586664E-2</v>
      </c>
      <c r="J39">
        <f>+G39</f>
        <v>3.5848699997586664E-2</v>
      </c>
      <c r="O39">
        <f t="shared" ca="1" si="3"/>
        <v>3.1303630890379186E-2</v>
      </c>
      <c r="Q39" s="2">
        <f t="shared" si="4"/>
        <v>39941.032599999999</v>
      </c>
    </row>
    <row r="40" spans="1:17" x14ac:dyDescent="0.2">
      <c r="A40" s="44" t="s">
        <v>51</v>
      </c>
      <c r="B40" s="44"/>
      <c r="C40" s="45">
        <v>54996.5268</v>
      </c>
      <c r="D40" s="45">
        <v>1.8E-3</v>
      </c>
      <c r="E40">
        <f t="shared" si="0"/>
        <v>74436.107049107537</v>
      </c>
      <c r="F40">
        <f t="shared" si="1"/>
        <v>74436</v>
      </c>
      <c r="G40">
        <f t="shared" si="2"/>
        <v>3.6331599992990959E-2</v>
      </c>
      <c r="J40">
        <f>+G40</f>
        <v>3.6331599992990959E-2</v>
      </c>
      <c r="O40">
        <f t="shared" ca="1" si="3"/>
        <v>3.1621133919390254E-2</v>
      </c>
      <c r="Q40" s="2">
        <f t="shared" si="4"/>
        <v>39978.0268</v>
      </c>
    </row>
    <row r="41" spans="1:17" x14ac:dyDescent="0.2">
      <c r="A41" s="36" t="s">
        <v>44</v>
      </c>
      <c r="B41" s="37" t="s">
        <v>38</v>
      </c>
      <c r="C41" s="36">
        <v>55339.822399999997</v>
      </c>
      <c r="D41" s="36">
        <v>2.9999999999999997E-4</v>
      </c>
      <c r="E41">
        <f t="shared" si="0"/>
        <v>75447.609091436767</v>
      </c>
      <c r="F41">
        <f t="shared" si="1"/>
        <v>75447.5</v>
      </c>
      <c r="G41">
        <f t="shared" si="2"/>
        <v>3.7024749995907769E-2</v>
      </c>
      <c r="K41">
        <f>+G41</f>
        <v>3.7024749995907769E-2</v>
      </c>
      <c r="O41">
        <f t="shared" ca="1" si="3"/>
        <v>3.4567503771176289E-2</v>
      </c>
      <c r="Q41" s="2">
        <f t="shared" si="4"/>
        <v>40321.322399999997</v>
      </c>
    </row>
    <row r="42" spans="1:17" x14ac:dyDescent="0.2">
      <c r="A42" s="36" t="s">
        <v>44</v>
      </c>
      <c r="B42" s="37" t="s">
        <v>38</v>
      </c>
      <c r="C42" s="36">
        <v>55339.822399999997</v>
      </c>
      <c r="D42" s="36">
        <v>2.9999999999999997E-4</v>
      </c>
      <c r="E42">
        <f t="shared" si="0"/>
        <v>75447.609091436767</v>
      </c>
      <c r="F42">
        <f t="shared" si="1"/>
        <v>75447.5</v>
      </c>
      <c r="G42">
        <f t="shared" si="2"/>
        <v>3.7024749995907769E-2</v>
      </c>
      <c r="K42">
        <f>+G42</f>
        <v>3.7024749995907769E-2</v>
      </c>
      <c r="O42">
        <f t="shared" ca="1" si="3"/>
        <v>3.4567503771176289E-2</v>
      </c>
      <c r="Q42" s="2">
        <f t="shared" si="4"/>
        <v>40321.322399999997</v>
      </c>
    </row>
    <row r="43" spans="1:17" x14ac:dyDescent="0.2">
      <c r="A43" s="44" t="s">
        <v>51</v>
      </c>
      <c r="B43" s="44"/>
      <c r="C43" s="45">
        <v>55379.5308</v>
      </c>
      <c r="D43" s="45">
        <v>1E-3</v>
      </c>
      <c r="E43">
        <f t="shared" si="0"/>
        <v>75564.607758759113</v>
      </c>
      <c r="F43">
        <f t="shared" si="1"/>
        <v>75564.5</v>
      </c>
      <c r="G43">
        <f t="shared" si="2"/>
        <v>3.6572450000676326E-2</v>
      </c>
      <c r="J43">
        <f t="shared" ref="J43:J52" si="6">+G43</f>
        <v>3.6572450000676326E-2</v>
      </c>
      <c r="O43">
        <f t="shared" ca="1" si="3"/>
        <v>3.4908309774793672E-2</v>
      </c>
      <c r="Q43" s="2">
        <f t="shared" si="4"/>
        <v>40361.0308</v>
      </c>
    </row>
    <row r="44" spans="1:17" x14ac:dyDescent="0.2">
      <c r="A44" s="44" t="s">
        <v>51</v>
      </c>
      <c r="B44" s="44"/>
      <c r="C44" s="45">
        <v>55396.500500000002</v>
      </c>
      <c r="D44" s="45">
        <v>2.3E-3</v>
      </c>
      <c r="E44">
        <f t="shared" si="0"/>
        <v>75614.608068135989</v>
      </c>
      <c r="F44">
        <f t="shared" si="1"/>
        <v>75614.5</v>
      </c>
      <c r="G44">
        <f t="shared" si="2"/>
        <v>3.6677449999842793E-2</v>
      </c>
      <c r="J44">
        <f t="shared" si="6"/>
        <v>3.6677449999842793E-2</v>
      </c>
      <c r="O44">
        <f t="shared" ca="1" si="3"/>
        <v>3.5053953366083135E-2</v>
      </c>
      <c r="Q44" s="2">
        <f t="shared" si="4"/>
        <v>40378.000500000002</v>
      </c>
    </row>
    <row r="45" spans="1:17" x14ac:dyDescent="0.2">
      <c r="A45" s="44" t="s">
        <v>51</v>
      </c>
      <c r="B45" s="44"/>
      <c r="C45" s="45">
        <v>55422.464800000002</v>
      </c>
      <c r="D45" s="45">
        <v>1E-4</v>
      </c>
      <c r="E45">
        <f t="shared" si="0"/>
        <v>75691.11048319067</v>
      </c>
      <c r="F45">
        <f t="shared" si="1"/>
        <v>75691</v>
      </c>
      <c r="G45">
        <f t="shared" si="2"/>
        <v>3.7497099998290651E-2</v>
      </c>
      <c r="J45">
        <f t="shared" si="6"/>
        <v>3.7497099998290651E-2</v>
      </c>
      <c r="O45">
        <f t="shared" ca="1" si="3"/>
        <v>3.5276788060756042E-2</v>
      </c>
      <c r="Q45" s="2">
        <f t="shared" si="4"/>
        <v>40403.964800000002</v>
      </c>
    </row>
    <row r="46" spans="1:17" x14ac:dyDescent="0.2">
      <c r="A46" s="44" t="s">
        <v>51</v>
      </c>
      <c r="B46" s="44"/>
      <c r="C46" s="45">
        <v>55498.322</v>
      </c>
      <c r="D46" s="45">
        <v>4.0000000000000002E-4</v>
      </c>
      <c r="E46">
        <f t="shared" si="0"/>
        <v>75914.619647669839</v>
      </c>
      <c r="F46">
        <f t="shared" si="1"/>
        <v>75914.5</v>
      </c>
      <c r="G46">
        <f t="shared" si="2"/>
        <v>4.060744999878807E-2</v>
      </c>
      <c r="J46">
        <f t="shared" si="6"/>
        <v>4.060744999878807E-2</v>
      </c>
      <c r="O46">
        <f t="shared" ca="1" si="3"/>
        <v>3.5927814913819967E-2</v>
      </c>
      <c r="Q46" s="2">
        <f t="shared" si="4"/>
        <v>40479.822</v>
      </c>
    </row>
    <row r="47" spans="1:17" x14ac:dyDescent="0.2">
      <c r="A47" s="36" t="s">
        <v>49</v>
      </c>
      <c r="B47" s="37" t="s">
        <v>47</v>
      </c>
      <c r="C47" s="36">
        <v>55711.458899999998</v>
      </c>
      <c r="D47" s="36">
        <v>1.8E-3</v>
      </c>
      <c r="E47">
        <f t="shared" si="0"/>
        <v>76542.616073041208</v>
      </c>
      <c r="F47">
        <f t="shared" si="1"/>
        <v>76542.5</v>
      </c>
      <c r="G47">
        <f t="shared" si="2"/>
        <v>3.9394249994074926E-2</v>
      </c>
      <c r="J47">
        <f t="shared" si="6"/>
        <v>3.9394249994074926E-2</v>
      </c>
      <c r="O47">
        <f t="shared" ca="1" si="3"/>
        <v>3.7757098420415774E-2</v>
      </c>
      <c r="Q47" s="2">
        <f t="shared" si="4"/>
        <v>40692.958899999998</v>
      </c>
    </row>
    <row r="48" spans="1:17" x14ac:dyDescent="0.2">
      <c r="A48" s="36" t="s">
        <v>49</v>
      </c>
      <c r="B48" s="37" t="s">
        <v>38</v>
      </c>
      <c r="C48" s="36">
        <v>55748.451800000003</v>
      </c>
      <c r="D48" s="36">
        <v>1.6999999999999999E-3</v>
      </c>
      <c r="E48">
        <f t="shared" si="0"/>
        <v>76651.613665499972</v>
      </c>
      <c r="F48">
        <f t="shared" si="1"/>
        <v>76651.5</v>
      </c>
      <c r="G48">
        <f t="shared" si="2"/>
        <v>3.8577150000492111E-2</v>
      </c>
      <c r="J48">
        <f t="shared" si="6"/>
        <v>3.8577150000492111E-2</v>
      </c>
      <c r="O48">
        <f t="shared" ca="1" si="3"/>
        <v>3.8074601449426815E-2</v>
      </c>
      <c r="Q48" s="2">
        <f t="shared" si="4"/>
        <v>40729.951800000003</v>
      </c>
    </row>
    <row r="49" spans="1:17" x14ac:dyDescent="0.2">
      <c r="A49" s="36" t="s">
        <v>49</v>
      </c>
      <c r="B49" s="37" t="s">
        <v>47</v>
      </c>
      <c r="C49" s="36">
        <v>55758.464999999997</v>
      </c>
      <c r="D49" s="36">
        <v>2.8999999999999998E-3</v>
      </c>
      <c r="E49">
        <f t="shared" si="0"/>
        <v>76681.117021354949</v>
      </c>
      <c r="F49">
        <f t="shared" si="1"/>
        <v>76681</v>
      </c>
      <c r="G49">
        <f t="shared" si="2"/>
        <v>3.9716100000077859E-2</v>
      </c>
      <c r="J49">
        <f t="shared" si="6"/>
        <v>3.9716100000077859E-2</v>
      </c>
      <c r="O49">
        <f t="shared" ca="1" si="3"/>
        <v>3.8160531168287604E-2</v>
      </c>
      <c r="Q49" s="2">
        <f t="shared" si="4"/>
        <v>40739.964999999997</v>
      </c>
    </row>
    <row r="50" spans="1:17" x14ac:dyDescent="0.2">
      <c r="A50" s="40" t="s">
        <v>50</v>
      </c>
      <c r="B50" s="41" t="s">
        <v>38</v>
      </c>
      <c r="C50" s="42">
        <v>56072.4041</v>
      </c>
      <c r="D50" s="42">
        <v>1.6000000000000001E-3</v>
      </c>
      <c r="E50">
        <f t="shared" si="0"/>
        <v>77606.121713570654</v>
      </c>
      <c r="F50">
        <f t="shared" si="1"/>
        <v>77606</v>
      </c>
      <c r="G50">
        <f t="shared" si="2"/>
        <v>4.1308599997137208E-2</v>
      </c>
      <c r="J50">
        <f t="shared" si="6"/>
        <v>4.1308599997137208E-2</v>
      </c>
      <c r="O50">
        <f t="shared" ca="1" si="3"/>
        <v>4.0854937607142872E-2</v>
      </c>
      <c r="Q50" s="2">
        <f t="shared" si="4"/>
        <v>41053.9041</v>
      </c>
    </row>
    <row r="51" spans="1:17" x14ac:dyDescent="0.2">
      <c r="A51" s="46" t="s">
        <v>52</v>
      </c>
      <c r="B51" s="47"/>
      <c r="C51" s="46">
        <v>56908.334300000002</v>
      </c>
      <c r="D51" s="46">
        <v>6.9999999999999999E-4</v>
      </c>
      <c r="E51">
        <f t="shared" si="0"/>
        <v>80069.145138702486</v>
      </c>
      <c r="F51">
        <f t="shared" si="1"/>
        <v>80069</v>
      </c>
      <c r="G51">
        <f t="shared" si="2"/>
        <v>4.9258900005952455E-2</v>
      </c>
      <c r="J51">
        <f t="shared" si="6"/>
        <v>4.9258900005952455E-2</v>
      </c>
      <c r="O51">
        <f t="shared" ca="1" si="3"/>
        <v>4.8029340914062357E-2</v>
      </c>
      <c r="Q51" s="2">
        <f t="shared" si="4"/>
        <v>41889.834300000002</v>
      </c>
    </row>
    <row r="52" spans="1:17" x14ac:dyDescent="0.2">
      <c r="A52" s="46" t="s">
        <v>52</v>
      </c>
      <c r="B52" s="47"/>
      <c r="C52" s="46">
        <v>56908.505499999999</v>
      </c>
      <c r="D52" s="46">
        <v>6.0000000000000001E-3</v>
      </c>
      <c r="E52">
        <f t="shared" si="0"/>
        <v>80069.649570305002</v>
      </c>
      <c r="F52">
        <f t="shared" si="1"/>
        <v>80069.5</v>
      </c>
      <c r="G52">
        <f t="shared" si="2"/>
        <v>5.0762949998897966E-2</v>
      </c>
      <c r="J52">
        <f t="shared" si="6"/>
        <v>5.0762949998897966E-2</v>
      </c>
      <c r="O52">
        <f t="shared" ca="1" si="3"/>
        <v>4.8030797349975257E-2</v>
      </c>
      <c r="Q52" s="2">
        <f t="shared" si="4"/>
        <v>41890.005499999999</v>
      </c>
    </row>
    <row r="53" spans="1:17" x14ac:dyDescent="0.2">
      <c r="A53" s="43" t="s">
        <v>199</v>
      </c>
      <c r="C53" s="9">
        <v>57154.904399999999</v>
      </c>
      <c r="D53" s="9">
        <v>2.9999999999999997E-4</v>
      </c>
      <c r="E53">
        <f t="shared" si="0"/>
        <v>80795.650691722461</v>
      </c>
      <c r="F53">
        <f t="shared" si="1"/>
        <v>80795.5</v>
      </c>
      <c r="G53">
        <f t="shared" si="2"/>
        <v>5.1143549993867055E-2</v>
      </c>
      <c r="K53">
        <f>+G53</f>
        <v>5.1143549993867055E-2</v>
      </c>
      <c r="O53">
        <f t="shared" ca="1" si="3"/>
        <v>5.0145542295498391E-2</v>
      </c>
      <c r="Q53" s="2">
        <f t="shared" si="4"/>
        <v>42136.404399999999</v>
      </c>
    </row>
    <row r="54" spans="1:17" ht="12" customHeight="1" x14ac:dyDescent="0.2">
      <c r="A54" s="65" t="s">
        <v>201</v>
      </c>
      <c r="B54" s="66" t="s">
        <v>38</v>
      </c>
      <c r="C54" s="67">
        <v>59763.468399999998</v>
      </c>
      <c r="D54" s="65">
        <v>2.0000000000000001E-4</v>
      </c>
      <c r="E54">
        <f t="shared" ref="E54" si="7">+(C54-C$7)/C$8</f>
        <v>88481.644376309501</v>
      </c>
      <c r="F54">
        <f t="shared" ref="F54" si="8">ROUND(2*E54,0)/2</f>
        <v>88481.5</v>
      </c>
      <c r="G54">
        <f t="shared" ref="G54" si="9">+C54-(C$7+F54*C$8)</f>
        <v>4.9000150000210851E-2</v>
      </c>
      <c r="K54">
        <f>+G54</f>
        <v>4.9000150000210851E-2</v>
      </c>
      <c r="O54">
        <f t="shared" ref="O54" ca="1" si="10">+C$11+C$12*$F54</f>
        <v>7.2533875148516308E-2</v>
      </c>
      <c r="Q54" s="2">
        <f t="shared" ref="Q54" si="11">+C54-15018.5</f>
        <v>44744.968399999998</v>
      </c>
    </row>
    <row r="55" spans="1:17" x14ac:dyDescent="0.2">
      <c r="C55" s="9"/>
      <c r="D55" s="9"/>
    </row>
    <row r="56" spans="1:17" x14ac:dyDescent="0.2">
      <c r="C56" s="9"/>
      <c r="D56" s="9"/>
    </row>
    <row r="57" spans="1:17" x14ac:dyDescent="0.2">
      <c r="C57" s="9"/>
      <c r="D57" s="9"/>
    </row>
    <row r="58" spans="1:17" x14ac:dyDescent="0.2">
      <c r="C58" s="9"/>
      <c r="D58" s="9"/>
    </row>
    <row r="59" spans="1:17" x14ac:dyDescent="0.2">
      <c r="C59" s="9"/>
      <c r="D59" s="9"/>
    </row>
    <row r="60" spans="1:17" x14ac:dyDescent="0.2">
      <c r="C60" s="9"/>
      <c r="D60" s="9"/>
    </row>
    <row r="61" spans="1:17" x14ac:dyDescent="0.2">
      <c r="C61" s="9"/>
      <c r="D61" s="9"/>
    </row>
    <row r="62" spans="1:17" x14ac:dyDescent="0.2">
      <c r="C62" s="9"/>
      <c r="D62" s="9"/>
    </row>
    <row r="63" spans="1:17" x14ac:dyDescent="0.2">
      <c r="C63" s="9"/>
      <c r="D63" s="9"/>
    </row>
    <row r="64" spans="1:17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4"/>
  <sheetViews>
    <sheetView topLeftCell="A8" workbookViewId="0">
      <selection activeCell="A36" sqref="A36:D40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8" t="s">
        <v>53</v>
      </c>
      <c r="I1" s="49" t="s">
        <v>54</v>
      </c>
      <c r="J1" s="50" t="s">
        <v>55</v>
      </c>
    </row>
    <row r="2" spans="1:16" x14ac:dyDescent="0.2">
      <c r="I2" s="51" t="s">
        <v>56</v>
      </c>
      <c r="J2" s="52" t="s">
        <v>57</v>
      </c>
    </row>
    <row r="3" spans="1:16" x14ac:dyDescent="0.2">
      <c r="A3" s="53" t="s">
        <v>58</v>
      </c>
      <c r="I3" s="51" t="s">
        <v>59</v>
      </c>
      <c r="J3" s="52" t="s">
        <v>60</v>
      </c>
    </row>
    <row r="4" spans="1:16" x14ac:dyDescent="0.2">
      <c r="I4" s="51" t="s">
        <v>61</v>
      </c>
      <c r="J4" s="52" t="s">
        <v>60</v>
      </c>
    </row>
    <row r="5" spans="1:16" ht="13.5" thickBot="1" x14ac:dyDescent="0.25">
      <c r="I5" s="54" t="s">
        <v>62</v>
      </c>
      <c r="J5" s="55" t="s">
        <v>63</v>
      </c>
    </row>
    <row r="10" spans="1:16" ht="13.5" thickBot="1" x14ac:dyDescent="0.25"/>
    <row r="11" spans="1:16" ht="12.75" customHeight="1" thickBot="1" x14ac:dyDescent="0.25">
      <c r="A11" s="9" t="str">
        <f t="shared" ref="A11:A40" si="0">P11</f>
        <v>IBVS 4663 </v>
      </c>
      <c r="B11" s="3" t="str">
        <f t="shared" ref="B11:B40" si="1">IF(H11=INT(H11),"I","II")</f>
        <v>II</v>
      </c>
      <c r="C11" s="9">
        <f t="shared" ref="C11:C40" si="2">1*G11</f>
        <v>50946.362999999998</v>
      </c>
      <c r="D11" s="11" t="str">
        <f t="shared" ref="D11:D40" si="3">VLOOKUP(F11,I$1:J$5,2,FALSE)</f>
        <v>vis</v>
      </c>
      <c r="E11" s="56" t="e">
        <f>VLOOKUP(C11,Active!C$21:E$973,3,FALSE)</f>
        <v>#N/A</v>
      </c>
      <c r="F11" s="3" t="s">
        <v>62</v>
      </c>
      <c r="G11" s="11" t="str">
        <f t="shared" ref="G11:G40" si="4">MID(I11,3,LEN(I11)-3)</f>
        <v>50946.363</v>
      </c>
      <c r="H11" s="9">
        <f t="shared" ref="H11:H40" si="5">1*K11</f>
        <v>93846.5</v>
      </c>
      <c r="I11" s="57" t="s">
        <v>64</v>
      </c>
      <c r="J11" s="58" t="s">
        <v>65</v>
      </c>
      <c r="K11" s="57">
        <v>93846.5</v>
      </c>
      <c r="L11" s="57" t="s">
        <v>66</v>
      </c>
      <c r="M11" s="58" t="s">
        <v>67</v>
      </c>
      <c r="N11" s="58" t="s">
        <v>68</v>
      </c>
      <c r="O11" s="59" t="s">
        <v>69</v>
      </c>
      <c r="P11" s="60" t="s">
        <v>70</v>
      </c>
    </row>
    <row r="12" spans="1:16" ht="12.75" customHeight="1" thickBot="1" x14ac:dyDescent="0.25">
      <c r="A12" s="9" t="str">
        <f t="shared" si="0"/>
        <v>IBVS 5027 </v>
      </c>
      <c r="B12" s="3" t="str">
        <f t="shared" si="1"/>
        <v>I</v>
      </c>
      <c r="C12" s="9">
        <f t="shared" si="2"/>
        <v>51274.887199999997</v>
      </c>
      <c r="D12" s="11" t="str">
        <f t="shared" si="3"/>
        <v>vis</v>
      </c>
      <c r="E12" s="56">
        <f>VLOOKUP(C12,Active!C$21:E$973,3,FALSE)</f>
        <v>63470.495907533434</v>
      </c>
      <c r="F12" s="3" t="s">
        <v>62</v>
      </c>
      <c r="G12" s="11" t="str">
        <f t="shared" si="4"/>
        <v>51274.8872</v>
      </c>
      <c r="H12" s="9">
        <f t="shared" si="5"/>
        <v>95300</v>
      </c>
      <c r="I12" s="57" t="s">
        <v>71</v>
      </c>
      <c r="J12" s="58" t="s">
        <v>72</v>
      </c>
      <c r="K12" s="57">
        <v>95300</v>
      </c>
      <c r="L12" s="57" t="s">
        <v>73</v>
      </c>
      <c r="M12" s="58" t="s">
        <v>67</v>
      </c>
      <c r="N12" s="58" t="s">
        <v>68</v>
      </c>
      <c r="O12" s="59" t="s">
        <v>69</v>
      </c>
      <c r="P12" s="60" t="s">
        <v>74</v>
      </c>
    </row>
    <row r="13" spans="1:16" ht="12.75" customHeight="1" thickBot="1" x14ac:dyDescent="0.25">
      <c r="A13" s="9" t="str">
        <f t="shared" si="0"/>
        <v>IBVS 5027 </v>
      </c>
      <c r="B13" s="3" t="str">
        <f t="shared" si="1"/>
        <v>I</v>
      </c>
      <c r="C13" s="9">
        <f t="shared" si="2"/>
        <v>51296.774299999997</v>
      </c>
      <c r="D13" s="11" t="str">
        <f t="shared" si="3"/>
        <v>vis</v>
      </c>
      <c r="E13" s="56">
        <f>VLOOKUP(C13,Active!C$21:E$973,3,FALSE)</f>
        <v>63534.985071829928</v>
      </c>
      <c r="F13" s="3" t="s">
        <v>62</v>
      </c>
      <c r="G13" s="11" t="str">
        <f t="shared" si="4"/>
        <v>51296.7743</v>
      </c>
      <c r="H13" s="9">
        <f t="shared" si="5"/>
        <v>95397</v>
      </c>
      <c r="I13" s="57" t="s">
        <v>75</v>
      </c>
      <c r="J13" s="58" t="s">
        <v>76</v>
      </c>
      <c r="K13" s="57">
        <v>95397</v>
      </c>
      <c r="L13" s="57" t="s">
        <v>77</v>
      </c>
      <c r="M13" s="58" t="s">
        <v>67</v>
      </c>
      <c r="N13" s="58" t="s">
        <v>68</v>
      </c>
      <c r="O13" s="59" t="s">
        <v>69</v>
      </c>
      <c r="P13" s="60" t="s">
        <v>74</v>
      </c>
    </row>
    <row r="14" spans="1:16" ht="12.75" customHeight="1" thickBot="1" x14ac:dyDescent="0.25">
      <c r="A14" s="9" t="str">
        <f t="shared" si="0"/>
        <v> BBS 129 </v>
      </c>
      <c r="B14" s="3" t="str">
        <f t="shared" si="1"/>
        <v>I</v>
      </c>
      <c r="C14" s="9">
        <f t="shared" si="2"/>
        <v>52533.358099999998</v>
      </c>
      <c r="D14" s="11" t="str">
        <f t="shared" si="3"/>
        <v>vis</v>
      </c>
      <c r="E14" s="56">
        <f>VLOOKUP(C14,Active!C$21:E$973,3,FALSE)</f>
        <v>67178.512804813538</v>
      </c>
      <c r="F14" s="3" t="s">
        <v>62</v>
      </c>
      <c r="G14" s="11" t="str">
        <f t="shared" si="4"/>
        <v>52533.3581</v>
      </c>
      <c r="H14" s="9">
        <f t="shared" si="5"/>
        <v>100868</v>
      </c>
      <c r="I14" s="57" t="s">
        <v>98</v>
      </c>
      <c r="J14" s="58" t="s">
        <v>99</v>
      </c>
      <c r="K14" s="57">
        <v>100868</v>
      </c>
      <c r="L14" s="57" t="s">
        <v>100</v>
      </c>
      <c r="M14" s="58" t="s">
        <v>67</v>
      </c>
      <c r="N14" s="58" t="s">
        <v>68</v>
      </c>
      <c r="O14" s="59" t="s">
        <v>81</v>
      </c>
      <c r="P14" s="59" t="s">
        <v>101</v>
      </c>
    </row>
    <row r="15" spans="1:16" ht="12.75" customHeight="1" thickBot="1" x14ac:dyDescent="0.25">
      <c r="A15" s="9" t="str">
        <f t="shared" si="0"/>
        <v>BAVM 215 </v>
      </c>
      <c r="B15" s="3" t="str">
        <f t="shared" si="1"/>
        <v>I</v>
      </c>
      <c r="C15" s="9">
        <f t="shared" si="2"/>
        <v>54219.4827</v>
      </c>
      <c r="D15" s="11" t="str">
        <f t="shared" si="3"/>
        <v>vis</v>
      </c>
      <c r="E15" s="56">
        <f>VLOOKUP(C15,Active!C$21:E$973,3,FALSE)</f>
        <v>72146.588354053238</v>
      </c>
      <c r="F15" s="3" t="s">
        <v>62</v>
      </c>
      <c r="G15" s="11" t="str">
        <f t="shared" si="4"/>
        <v>54219.4827</v>
      </c>
      <c r="H15" s="9">
        <f t="shared" si="5"/>
        <v>108328</v>
      </c>
      <c r="I15" s="57" t="s">
        <v>102</v>
      </c>
      <c r="J15" s="58" t="s">
        <v>103</v>
      </c>
      <c r="K15" s="57">
        <v>108328</v>
      </c>
      <c r="L15" s="57" t="s">
        <v>104</v>
      </c>
      <c r="M15" s="58" t="s">
        <v>105</v>
      </c>
      <c r="N15" s="58" t="s">
        <v>106</v>
      </c>
      <c r="O15" s="59" t="s">
        <v>107</v>
      </c>
      <c r="P15" s="60" t="s">
        <v>108</v>
      </c>
    </row>
    <row r="16" spans="1:16" ht="12.75" customHeight="1" thickBot="1" x14ac:dyDescent="0.25">
      <c r="A16" s="9" t="str">
        <f t="shared" si="0"/>
        <v>BAVM 215 </v>
      </c>
      <c r="B16" s="3" t="str">
        <f t="shared" si="1"/>
        <v>II</v>
      </c>
      <c r="C16" s="9">
        <f t="shared" si="2"/>
        <v>54222.537600000003</v>
      </c>
      <c r="D16" s="11" t="str">
        <f t="shared" si="3"/>
        <v>vis</v>
      </c>
      <c r="E16" s="56">
        <f>VLOOKUP(C16,Active!C$21:E$973,3,FALSE)</f>
        <v>72155.589452783053</v>
      </c>
      <c r="F16" s="3" t="s">
        <v>62</v>
      </c>
      <c r="G16" s="11" t="str">
        <f t="shared" si="4"/>
        <v>54222.5376</v>
      </c>
      <c r="H16" s="9">
        <f t="shared" si="5"/>
        <v>108341.5</v>
      </c>
      <c r="I16" s="57" t="s">
        <v>109</v>
      </c>
      <c r="J16" s="58" t="s">
        <v>110</v>
      </c>
      <c r="K16" s="57">
        <v>108341.5</v>
      </c>
      <c r="L16" s="57" t="s">
        <v>111</v>
      </c>
      <c r="M16" s="58" t="s">
        <v>105</v>
      </c>
      <c r="N16" s="58" t="s">
        <v>112</v>
      </c>
      <c r="O16" s="59" t="s">
        <v>113</v>
      </c>
      <c r="P16" s="60" t="s">
        <v>108</v>
      </c>
    </row>
    <row r="17" spans="1:16" ht="12.75" customHeight="1" thickBot="1" x14ac:dyDescent="0.25">
      <c r="A17" s="9" t="str">
        <f t="shared" si="0"/>
        <v>BAVM 215 </v>
      </c>
      <c r="B17" s="3" t="str">
        <f t="shared" si="1"/>
        <v>II</v>
      </c>
      <c r="C17" s="9">
        <f t="shared" si="2"/>
        <v>54239.501199999999</v>
      </c>
      <c r="D17" s="11" t="str">
        <f t="shared" si="3"/>
        <v>vis</v>
      </c>
      <c r="E17" s="56">
        <f>VLOOKUP(C17,Active!C$21:E$973,3,FALSE)</f>
        <v>72205.571788837624</v>
      </c>
      <c r="F17" s="3" t="s">
        <v>62</v>
      </c>
      <c r="G17" s="11" t="str">
        <f t="shared" si="4"/>
        <v>54239.5012</v>
      </c>
      <c r="H17" s="9">
        <f t="shared" si="5"/>
        <v>108416.5</v>
      </c>
      <c r="I17" s="57" t="s">
        <v>114</v>
      </c>
      <c r="J17" s="58" t="s">
        <v>115</v>
      </c>
      <c r="K17" s="57" t="s">
        <v>116</v>
      </c>
      <c r="L17" s="57" t="s">
        <v>117</v>
      </c>
      <c r="M17" s="58" t="s">
        <v>105</v>
      </c>
      <c r="N17" s="58" t="s">
        <v>106</v>
      </c>
      <c r="O17" s="59" t="s">
        <v>107</v>
      </c>
      <c r="P17" s="60" t="s">
        <v>108</v>
      </c>
    </row>
    <row r="18" spans="1:16" ht="12.75" customHeight="1" thickBot="1" x14ac:dyDescent="0.25">
      <c r="A18" s="9" t="str">
        <f t="shared" si="0"/>
        <v>BAVM 215 </v>
      </c>
      <c r="B18" s="3" t="str">
        <f t="shared" si="1"/>
        <v>I</v>
      </c>
      <c r="C18" s="9">
        <f t="shared" si="2"/>
        <v>54597.398300000001</v>
      </c>
      <c r="D18" s="11" t="str">
        <f t="shared" si="3"/>
        <v>vis</v>
      </c>
      <c r="E18" s="56">
        <f>VLOOKUP(C18,Active!C$21:E$973,3,FALSE)</f>
        <v>73260.096366471917</v>
      </c>
      <c r="F18" s="3" t="s">
        <v>62</v>
      </c>
      <c r="G18" s="11" t="str">
        <f t="shared" si="4"/>
        <v>54597.3983</v>
      </c>
      <c r="H18" s="9">
        <f t="shared" si="5"/>
        <v>110000</v>
      </c>
      <c r="I18" s="57" t="s">
        <v>118</v>
      </c>
      <c r="J18" s="58" t="s">
        <v>119</v>
      </c>
      <c r="K18" s="57" t="s">
        <v>120</v>
      </c>
      <c r="L18" s="57" t="s">
        <v>121</v>
      </c>
      <c r="M18" s="58" t="s">
        <v>105</v>
      </c>
      <c r="N18" s="58" t="s">
        <v>106</v>
      </c>
      <c r="O18" s="59" t="s">
        <v>107</v>
      </c>
      <c r="P18" s="60" t="s">
        <v>108</v>
      </c>
    </row>
    <row r="19" spans="1:16" ht="12.75" customHeight="1" thickBot="1" x14ac:dyDescent="0.25">
      <c r="A19" s="9" t="str">
        <f t="shared" si="0"/>
        <v>BAVM 215 </v>
      </c>
      <c r="B19" s="3" t="str">
        <f t="shared" si="1"/>
        <v>I</v>
      </c>
      <c r="C19" s="9">
        <f t="shared" si="2"/>
        <v>54597.570099999997</v>
      </c>
      <c r="D19" s="11" t="str">
        <f t="shared" si="3"/>
        <v>vis</v>
      </c>
      <c r="E19" s="56">
        <f>VLOOKUP(C19,Active!C$21:E$973,3,FALSE)</f>
        <v>73260.602565942187</v>
      </c>
      <c r="F19" s="3" t="s">
        <v>62</v>
      </c>
      <c r="G19" s="11" t="str">
        <f t="shared" si="4"/>
        <v>54597.5701</v>
      </c>
      <c r="H19" s="9">
        <f t="shared" si="5"/>
        <v>110001</v>
      </c>
      <c r="I19" s="57" t="s">
        <v>122</v>
      </c>
      <c r="J19" s="58" t="s">
        <v>123</v>
      </c>
      <c r="K19" s="57" t="s">
        <v>124</v>
      </c>
      <c r="L19" s="57" t="s">
        <v>125</v>
      </c>
      <c r="M19" s="58" t="s">
        <v>105</v>
      </c>
      <c r="N19" s="58" t="s">
        <v>106</v>
      </c>
      <c r="O19" s="59" t="s">
        <v>107</v>
      </c>
      <c r="P19" s="60" t="s">
        <v>108</v>
      </c>
    </row>
    <row r="20" spans="1:16" ht="12.75" customHeight="1" thickBot="1" x14ac:dyDescent="0.25">
      <c r="A20" s="9" t="str">
        <f t="shared" si="0"/>
        <v>BAVM 215 </v>
      </c>
      <c r="B20" s="3" t="str">
        <f t="shared" si="1"/>
        <v>I</v>
      </c>
      <c r="C20" s="9">
        <f t="shared" si="2"/>
        <v>54598.5769</v>
      </c>
      <c r="D20" s="11" t="str">
        <f t="shared" si="3"/>
        <v>vis</v>
      </c>
      <c r="E20" s="56">
        <f>VLOOKUP(C20,Active!C$21:E$973,3,FALSE)</f>
        <v>73263.569048053294</v>
      </c>
      <c r="F20" s="3" t="s">
        <v>62</v>
      </c>
      <c r="G20" s="11" t="str">
        <f t="shared" si="4"/>
        <v>54598.5769</v>
      </c>
      <c r="H20" s="9">
        <f t="shared" si="5"/>
        <v>110005</v>
      </c>
      <c r="I20" s="57" t="s">
        <v>126</v>
      </c>
      <c r="J20" s="58" t="s">
        <v>127</v>
      </c>
      <c r="K20" s="57" t="s">
        <v>128</v>
      </c>
      <c r="L20" s="57" t="s">
        <v>129</v>
      </c>
      <c r="M20" s="58" t="s">
        <v>105</v>
      </c>
      <c r="N20" s="58" t="s">
        <v>106</v>
      </c>
      <c r="O20" s="59" t="s">
        <v>107</v>
      </c>
      <c r="P20" s="60" t="s">
        <v>108</v>
      </c>
    </row>
    <row r="21" spans="1:16" ht="12.75" customHeight="1" thickBot="1" x14ac:dyDescent="0.25">
      <c r="A21" s="9" t="str">
        <f t="shared" si="0"/>
        <v>BAVM 215 </v>
      </c>
      <c r="B21" s="3" t="str">
        <f t="shared" si="1"/>
        <v>II</v>
      </c>
      <c r="C21" s="9">
        <f t="shared" si="2"/>
        <v>54600.4542</v>
      </c>
      <c r="D21" s="11" t="str">
        <f t="shared" si="3"/>
        <v>vis</v>
      </c>
      <c r="E21" s="56">
        <f>VLOOKUP(C21,Active!C$21:E$973,3,FALSE)</f>
        <v>73269.100411648004</v>
      </c>
      <c r="F21" s="3" t="s">
        <v>62</v>
      </c>
      <c r="G21" s="11" t="str">
        <f t="shared" si="4"/>
        <v>54600.4542</v>
      </c>
      <c r="H21" s="9">
        <f t="shared" si="5"/>
        <v>110013.5</v>
      </c>
      <c r="I21" s="57" t="s">
        <v>130</v>
      </c>
      <c r="J21" s="58" t="s">
        <v>131</v>
      </c>
      <c r="K21" s="57" t="s">
        <v>132</v>
      </c>
      <c r="L21" s="57" t="s">
        <v>133</v>
      </c>
      <c r="M21" s="58" t="s">
        <v>105</v>
      </c>
      <c r="N21" s="58" t="s">
        <v>112</v>
      </c>
      <c r="O21" s="59" t="s">
        <v>113</v>
      </c>
      <c r="P21" s="60" t="s">
        <v>108</v>
      </c>
    </row>
    <row r="22" spans="1:16" ht="12.75" customHeight="1" thickBot="1" x14ac:dyDescent="0.25">
      <c r="A22" s="9" t="str">
        <f t="shared" si="0"/>
        <v>IBVS 5929 </v>
      </c>
      <c r="B22" s="3" t="str">
        <f t="shared" si="1"/>
        <v>II</v>
      </c>
      <c r="C22" s="9">
        <f t="shared" si="2"/>
        <v>54953.933400000002</v>
      </c>
      <c r="D22" s="11" t="str">
        <f t="shared" si="3"/>
        <v>vis</v>
      </c>
      <c r="E22" s="56">
        <f>VLOOKUP(C22,Active!C$21:E$973,3,FALSE)</f>
        <v>74310.607884277735</v>
      </c>
      <c r="F22" s="3" t="s">
        <v>62</v>
      </c>
      <c r="G22" s="11" t="str">
        <f t="shared" si="4"/>
        <v>54953.9334</v>
      </c>
      <c r="H22" s="9">
        <f t="shared" si="5"/>
        <v>111577.5</v>
      </c>
      <c r="I22" s="57" t="s">
        <v>134</v>
      </c>
      <c r="J22" s="58" t="s">
        <v>135</v>
      </c>
      <c r="K22" s="57" t="s">
        <v>136</v>
      </c>
      <c r="L22" s="57" t="s">
        <v>137</v>
      </c>
      <c r="M22" s="58" t="s">
        <v>105</v>
      </c>
      <c r="N22" s="58" t="s">
        <v>138</v>
      </c>
      <c r="O22" s="59" t="s">
        <v>139</v>
      </c>
      <c r="P22" s="60" t="s">
        <v>140</v>
      </c>
    </row>
    <row r="23" spans="1:16" ht="12.75" customHeight="1" thickBot="1" x14ac:dyDescent="0.25">
      <c r="A23" s="9" t="str">
        <f t="shared" si="0"/>
        <v>BAVM 215 </v>
      </c>
      <c r="B23" s="3" t="str">
        <f t="shared" si="1"/>
        <v>I</v>
      </c>
      <c r="C23" s="9">
        <f t="shared" si="2"/>
        <v>54959.532599999999</v>
      </c>
      <c r="D23" s="11" t="str">
        <f t="shared" si="3"/>
        <v>vis</v>
      </c>
      <c r="E23" s="56">
        <f>VLOOKUP(C23,Active!C$21:E$973,3,FALSE)</f>
        <v>74327.105626268618</v>
      </c>
      <c r="F23" s="3" t="s">
        <v>62</v>
      </c>
      <c r="G23" s="11" t="str">
        <f t="shared" si="4"/>
        <v>54959.5326</v>
      </c>
      <c r="H23" s="9">
        <f t="shared" si="5"/>
        <v>111602</v>
      </c>
      <c r="I23" s="57" t="s">
        <v>141</v>
      </c>
      <c r="J23" s="58" t="s">
        <v>142</v>
      </c>
      <c r="K23" s="57" t="s">
        <v>143</v>
      </c>
      <c r="L23" s="57" t="s">
        <v>144</v>
      </c>
      <c r="M23" s="58" t="s">
        <v>105</v>
      </c>
      <c r="N23" s="58" t="s">
        <v>112</v>
      </c>
      <c r="O23" s="59" t="s">
        <v>113</v>
      </c>
      <c r="P23" s="60" t="s">
        <v>108</v>
      </c>
    </row>
    <row r="24" spans="1:16" ht="12.75" customHeight="1" thickBot="1" x14ac:dyDescent="0.25">
      <c r="A24" s="9" t="str">
        <f t="shared" si="0"/>
        <v>BAVM 215 </v>
      </c>
      <c r="B24" s="3" t="str">
        <f t="shared" si="1"/>
        <v>I</v>
      </c>
      <c r="C24" s="9">
        <f t="shared" si="2"/>
        <v>54996.5268</v>
      </c>
      <c r="D24" s="11" t="str">
        <f t="shared" si="3"/>
        <v>vis</v>
      </c>
      <c r="E24" s="56">
        <f>VLOOKUP(C24,Active!C$21:E$973,3,FALSE)</f>
        <v>74436.107049107537</v>
      </c>
      <c r="F24" s="3" t="s">
        <v>62</v>
      </c>
      <c r="G24" s="11" t="str">
        <f t="shared" si="4"/>
        <v>54996.5268</v>
      </c>
      <c r="H24" s="9">
        <f t="shared" si="5"/>
        <v>111766</v>
      </c>
      <c r="I24" s="57" t="s">
        <v>145</v>
      </c>
      <c r="J24" s="58" t="s">
        <v>146</v>
      </c>
      <c r="K24" s="57" t="s">
        <v>147</v>
      </c>
      <c r="L24" s="57" t="s">
        <v>148</v>
      </c>
      <c r="M24" s="58" t="s">
        <v>105</v>
      </c>
      <c r="N24" s="58" t="s">
        <v>112</v>
      </c>
      <c r="O24" s="59" t="s">
        <v>113</v>
      </c>
      <c r="P24" s="60" t="s">
        <v>108</v>
      </c>
    </row>
    <row r="25" spans="1:16" ht="12.75" customHeight="1" thickBot="1" x14ac:dyDescent="0.25">
      <c r="A25" s="9" t="str">
        <f t="shared" si="0"/>
        <v>IBVS 5945 </v>
      </c>
      <c r="B25" s="3" t="str">
        <f t="shared" si="1"/>
        <v>I</v>
      </c>
      <c r="C25" s="9">
        <f t="shared" si="2"/>
        <v>55339.822399999997</v>
      </c>
      <c r="D25" s="11" t="str">
        <f t="shared" si="3"/>
        <v>vis</v>
      </c>
      <c r="E25" s="56">
        <f>VLOOKUP(C25,Active!C$21:E$973,3,FALSE)</f>
        <v>75447.609091436767</v>
      </c>
      <c r="F25" s="3" t="s">
        <v>62</v>
      </c>
      <c r="G25" s="11" t="str">
        <f t="shared" si="4"/>
        <v>55339.8224</v>
      </c>
      <c r="H25" s="9">
        <f t="shared" si="5"/>
        <v>113285</v>
      </c>
      <c r="I25" s="57" t="s">
        <v>149</v>
      </c>
      <c r="J25" s="58" t="s">
        <v>150</v>
      </c>
      <c r="K25" s="57" t="s">
        <v>151</v>
      </c>
      <c r="L25" s="57" t="s">
        <v>152</v>
      </c>
      <c r="M25" s="58" t="s">
        <v>105</v>
      </c>
      <c r="N25" s="58" t="s">
        <v>62</v>
      </c>
      <c r="O25" s="59" t="s">
        <v>69</v>
      </c>
      <c r="P25" s="60" t="s">
        <v>153</v>
      </c>
    </row>
    <row r="26" spans="1:16" ht="12.75" customHeight="1" thickBot="1" x14ac:dyDescent="0.25">
      <c r="A26" s="9" t="str">
        <f t="shared" si="0"/>
        <v>BAVM 215 </v>
      </c>
      <c r="B26" s="3" t="str">
        <f t="shared" si="1"/>
        <v>II</v>
      </c>
      <c r="C26" s="9">
        <f t="shared" si="2"/>
        <v>55379.5308</v>
      </c>
      <c r="D26" s="11" t="str">
        <f t="shared" si="3"/>
        <v>vis</v>
      </c>
      <c r="E26" s="56">
        <f>VLOOKUP(C26,Active!C$21:E$973,3,FALSE)</f>
        <v>75564.607758759113</v>
      </c>
      <c r="F26" s="3" t="s">
        <v>62</v>
      </c>
      <c r="G26" s="11" t="str">
        <f t="shared" si="4"/>
        <v>55379.5308</v>
      </c>
      <c r="H26" s="9">
        <f t="shared" si="5"/>
        <v>113460.5</v>
      </c>
      <c r="I26" s="57" t="s">
        <v>154</v>
      </c>
      <c r="J26" s="58" t="s">
        <v>155</v>
      </c>
      <c r="K26" s="57" t="s">
        <v>156</v>
      </c>
      <c r="L26" s="57" t="s">
        <v>157</v>
      </c>
      <c r="M26" s="58" t="s">
        <v>105</v>
      </c>
      <c r="N26" s="58" t="s">
        <v>112</v>
      </c>
      <c r="O26" s="59" t="s">
        <v>113</v>
      </c>
      <c r="P26" s="60" t="s">
        <v>108</v>
      </c>
    </row>
    <row r="27" spans="1:16" ht="12.75" customHeight="1" thickBot="1" x14ac:dyDescent="0.25">
      <c r="A27" s="9" t="str">
        <f t="shared" si="0"/>
        <v>BAVM 215 </v>
      </c>
      <c r="B27" s="3" t="str">
        <f t="shared" si="1"/>
        <v>II</v>
      </c>
      <c r="C27" s="9">
        <f t="shared" si="2"/>
        <v>55396.500500000002</v>
      </c>
      <c r="D27" s="11" t="str">
        <f t="shared" si="3"/>
        <v>vis</v>
      </c>
      <c r="E27" s="56">
        <f>VLOOKUP(C27,Active!C$21:E$973,3,FALSE)</f>
        <v>75614.608068135989</v>
      </c>
      <c r="F27" s="3" t="s">
        <v>62</v>
      </c>
      <c r="G27" s="11" t="str">
        <f t="shared" si="4"/>
        <v>55396.5005</v>
      </c>
      <c r="H27" s="9">
        <f t="shared" si="5"/>
        <v>113535.5</v>
      </c>
      <c r="I27" s="57" t="s">
        <v>158</v>
      </c>
      <c r="J27" s="58" t="s">
        <v>159</v>
      </c>
      <c r="K27" s="57" t="s">
        <v>160</v>
      </c>
      <c r="L27" s="57" t="s">
        <v>161</v>
      </c>
      <c r="M27" s="58" t="s">
        <v>105</v>
      </c>
      <c r="N27" s="58" t="s">
        <v>112</v>
      </c>
      <c r="O27" s="59" t="s">
        <v>113</v>
      </c>
      <c r="P27" s="60" t="s">
        <v>108</v>
      </c>
    </row>
    <row r="28" spans="1:16" ht="12.75" customHeight="1" thickBot="1" x14ac:dyDescent="0.25">
      <c r="A28" s="9" t="str">
        <f t="shared" si="0"/>
        <v>BAVM 215 </v>
      </c>
      <c r="B28" s="3" t="str">
        <f t="shared" si="1"/>
        <v>II</v>
      </c>
      <c r="C28" s="9">
        <f t="shared" si="2"/>
        <v>55422.464800000002</v>
      </c>
      <c r="D28" s="11" t="str">
        <f t="shared" si="3"/>
        <v>vis</v>
      </c>
      <c r="E28" s="56">
        <f>VLOOKUP(C28,Active!C$21:E$973,3,FALSE)</f>
        <v>75691.11048319067</v>
      </c>
      <c r="F28" s="3" t="s">
        <v>62</v>
      </c>
      <c r="G28" s="11" t="str">
        <f t="shared" si="4"/>
        <v>55422.4648</v>
      </c>
      <c r="H28" s="9">
        <f t="shared" si="5"/>
        <v>113650.5</v>
      </c>
      <c r="I28" s="57" t="s">
        <v>162</v>
      </c>
      <c r="J28" s="58" t="s">
        <v>163</v>
      </c>
      <c r="K28" s="57" t="s">
        <v>164</v>
      </c>
      <c r="L28" s="57" t="s">
        <v>165</v>
      </c>
      <c r="M28" s="58" t="s">
        <v>105</v>
      </c>
      <c r="N28" s="58" t="s">
        <v>112</v>
      </c>
      <c r="O28" s="59" t="s">
        <v>166</v>
      </c>
      <c r="P28" s="60" t="s">
        <v>108</v>
      </c>
    </row>
    <row r="29" spans="1:16" ht="12.75" customHeight="1" thickBot="1" x14ac:dyDescent="0.25">
      <c r="A29" s="9" t="str">
        <f t="shared" si="0"/>
        <v>BAVM 215 </v>
      </c>
      <c r="B29" s="3" t="str">
        <f t="shared" si="1"/>
        <v>I</v>
      </c>
      <c r="C29" s="9">
        <f t="shared" si="2"/>
        <v>55498.322</v>
      </c>
      <c r="D29" s="11" t="str">
        <f t="shared" si="3"/>
        <v>vis</v>
      </c>
      <c r="E29" s="56">
        <f>VLOOKUP(C29,Active!C$21:E$973,3,FALSE)</f>
        <v>75914.619647669839</v>
      </c>
      <c r="F29" s="3" t="s">
        <v>62</v>
      </c>
      <c r="G29" s="11" t="str">
        <f t="shared" si="4"/>
        <v>55498.3220</v>
      </c>
      <c r="H29" s="9">
        <f t="shared" si="5"/>
        <v>113986</v>
      </c>
      <c r="I29" s="57" t="s">
        <v>167</v>
      </c>
      <c r="J29" s="58" t="s">
        <v>168</v>
      </c>
      <c r="K29" s="57" t="s">
        <v>169</v>
      </c>
      <c r="L29" s="57" t="s">
        <v>170</v>
      </c>
      <c r="M29" s="58" t="s">
        <v>105</v>
      </c>
      <c r="N29" s="58" t="s">
        <v>112</v>
      </c>
      <c r="O29" s="59" t="s">
        <v>166</v>
      </c>
      <c r="P29" s="60" t="s">
        <v>108</v>
      </c>
    </row>
    <row r="30" spans="1:16" ht="12.75" customHeight="1" thickBot="1" x14ac:dyDescent="0.25">
      <c r="A30" s="9" t="str">
        <f t="shared" si="0"/>
        <v>BAVM 220 </v>
      </c>
      <c r="B30" s="3" t="str">
        <f t="shared" si="1"/>
        <v>I</v>
      </c>
      <c r="C30" s="9">
        <f t="shared" si="2"/>
        <v>55711.458899999998</v>
      </c>
      <c r="D30" s="11" t="str">
        <f t="shared" si="3"/>
        <v>vis</v>
      </c>
      <c r="E30" s="56">
        <f>VLOOKUP(C30,Active!C$21:E$973,3,FALSE)</f>
        <v>76542.616073041208</v>
      </c>
      <c r="F30" s="3" t="s">
        <v>62</v>
      </c>
      <c r="G30" s="11" t="str">
        <f t="shared" si="4"/>
        <v>55711.4589</v>
      </c>
      <c r="H30" s="9">
        <f t="shared" si="5"/>
        <v>114929</v>
      </c>
      <c r="I30" s="57" t="s">
        <v>171</v>
      </c>
      <c r="J30" s="58" t="s">
        <v>172</v>
      </c>
      <c r="K30" s="57" t="s">
        <v>173</v>
      </c>
      <c r="L30" s="57" t="s">
        <v>174</v>
      </c>
      <c r="M30" s="58" t="s">
        <v>105</v>
      </c>
      <c r="N30" s="58" t="s">
        <v>112</v>
      </c>
      <c r="O30" s="59" t="s">
        <v>113</v>
      </c>
      <c r="P30" s="60" t="s">
        <v>175</v>
      </c>
    </row>
    <row r="31" spans="1:16" ht="12.75" customHeight="1" thickBot="1" x14ac:dyDescent="0.25">
      <c r="A31" s="9" t="str">
        <f t="shared" si="0"/>
        <v>BAVM 220 </v>
      </c>
      <c r="B31" s="3" t="str">
        <f t="shared" si="1"/>
        <v>II</v>
      </c>
      <c r="C31" s="9">
        <f t="shared" si="2"/>
        <v>55748.451800000003</v>
      </c>
      <c r="D31" s="11" t="str">
        <f t="shared" si="3"/>
        <v>vis</v>
      </c>
      <c r="E31" s="56">
        <f>VLOOKUP(C31,Active!C$21:E$973,3,FALSE)</f>
        <v>76651.613665499972</v>
      </c>
      <c r="F31" s="3" t="s">
        <v>62</v>
      </c>
      <c r="G31" s="11" t="str">
        <f t="shared" si="4"/>
        <v>55748.4518</v>
      </c>
      <c r="H31" s="9">
        <f t="shared" si="5"/>
        <v>115092.5</v>
      </c>
      <c r="I31" s="57" t="s">
        <v>176</v>
      </c>
      <c r="J31" s="58" t="s">
        <v>177</v>
      </c>
      <c r="K31" s="57" t="s">
        <v>178</v>
      </c>
      <c r="L31" s="57" t="s">
        <v>179</v>
      </c>
      <c r="M31" s="58" t="s">
        <v>105</v>
      </c>
      <c r="N31" s="58" t="s">
        <v>106</v>
      </c>
      <c r="O31" s="59" t="s">
        <v>180</v>
      </c>
      <c r="P31" s="60" t="s">
        <v>175</v>
      </c>
    </row>
    <row r="32" spans="1:16" ht="12.75" customHeight="1" thickBot="1" x14ac:dyDescent="0.25">
      <c r="A32" s="9" t="str">
        <f t="shared" si="0"/>
        <v>BAVM 220 </v>
      </c>
      <c r="B32" s="3" t="str">
        <f t="shared" si="1"/>
        <v>I</v>
      </c>
      <c r="C32" s="9">
        <f t="shared" si="2"/>
        <v>55758.464999999997</v>
      </c>
      <c r="D32" s="11" t="str">
        <f t="shared" si="3"/>
        <v>vis</v>
      </c>
      <c r="E32" s="56">
        <f>VLOOKUP(C32,Active!C$21:E$973,3,FALSE)</f>
        <v>76681.117021354949</v>
      </c>
      <c r="F32" s="3" t="s">
        <v>62</v>
      </c>
      <c r="G32" s="11" t="str">
        <f t="shared" si="4"/>
        <v>55758.4650</v>
      </c>
      <c r="H32" s="9">
        <f t="shared" si="5"/>
        <v>115137</v>
      </c>
      <c r="I32" s="57" t="s">
        <v>181</v>
      </c>
      <c r="J32" s="58" t="s">
        <v>182</v>
      </c>
      <c r="K32" s="57" t="s">
        <v>183</v>
      </c>
      <c r="L32" s="57" t="s">
        <v>184</v>
      </c>
      <c r="M32" s="58" t="s">
        <v>105</v>
      </c>
      <c r="N32" s="58" t="s">
        <v>112</v>
      </c>
      <c r="O32" s="59" t="s">
        <v>113</v>
      </c>
      <c r="P32" s="60" t="s">
        <v>175</v>
      </c>
    </row>
    <row r="33" spans="1:16" ht="12.75" customHeight="1" thickBot="1" x14ac:dyDescent="0.25">
      <c r="A33" s="9" t="str">
        <f t="shared" si="0"/>
        <v>BAVM 231 </v>
      </c>
      <c r="B33" s="3" t="str">
        <f t="shared" si="1"/>
        <v>II</v>
      </c>
      <c r="C33" s="9">
        <f t="shared" si="2"/>
        <v>56072.4041</v>
      </c>
      <c r="D33" s="11" t="str">
        <f t="shared" si="3"/>
        <v>vis</v>
      </c>
      <c r="E33" s="56">
        <f>VLOOKUP(C33,Active!C$21:E$973,3,FALSE)</f>
        <v>77606.121713570654</v>
      </c>
      <c r="F33" s="3" t="s">
        <v>62</v>
      </c>
      <c r="G33" s="11" t="str">
        <f t="shared" si="4"/>
        <v>56072.4041</v>
      </c>
      <c r="H33" s="9">
        <f t="shared" si="5"/>
        <v>116525.5</v>
      </c>
      <c r="I33" s="57" t="s">
        <v>185</v>
      </c>
      <c r="J33" s="58" t="s">
        <v>186</v>
      </c>
      <c r="K33" s="57" t="s">
        <v>187</v>
      </c>
      <c r="L33" s="57" t="s">
        <v>188</v>
      </c>
      <c r="M33" s="58" t="s">
        <v>105</v>
      </c>
      <c r="N33" s="58" t="s">
        <v>112</v>
      </c>
      <c r="O33" s="59" t="s">
        <v>113</v>
      </c>
      <c r="P33" s="60" t="s">
        <v>189</v>
      </c>
    </row>
    <row r="34" spans="1:16" ht="12.75" customHeight="1" thickBot="1" x14ac:dyDescent="0.25">
      <c r="A34" s="9" t="str">
        <f t="shared" si="0"/>
        <v>BAVM 239 </v>
      </c>
      <c r="B34" s="3" t="str">
        <f t="shared" si="1"/>
        <v>II</v>
      </c>
      <c r="C34" s="9">
        <f t="shared" si="2"/>
        <v>56908.334300000002</v>
      </c>
      <c r="D34" s="11" t="str">
        <f t="shared" si="3"/>
        <v>vis</v>
      </c>
      <c r="E34" s="56">
        <f>VLOOKUP(C34,Active!C$21:E$973,3,FALSE)</f>
        <v>80069.145138702486</v>
      </c>
      <c r="F34" s="3" t="s">
        <v>62</v>
      </c>
      <c r="G34" s="11" t="str">
        <f t="shared" si="4"/>
        <v>56908.3343</v>
      </c>
      <c r="H34" s="9">
        <f t="shared" si="5"/>
        <v>120223.5</v>
      </c>
      <c r="I34" s="57" t="s">
        <v>190</v>
      </c>
      <c r="J34" s="58" t="s">
        <v>191</v>
      </c>
      <c r="K34" s="57" t="s">
        <v>192</v>
      </c>
      <c r="L34" s="57" t="s">
        <v>193</v>
      </c>
      <c r="M34" s="58" t="s">
        <v>105</v>
      </c>
      <c r="N34" s="58" t="s">
        <v>112</v>
      </c>
      <c r="O34" s="59" t="s">
        <v>113</v>
      </c>
      <c r="P34" s="60" t="s">
        <v>194</v>
      </c>
    </row>
    <row r="35" spans="1:16" ht="12.75" customHeight="1" thickBot="1" x14ac:dyDescent="0.25">
      <c r="A35" s="9" t="str">
        <f t="shared" si="0"/>
        <v>BAVM 239 </v>
      </c>
      <c r="B35" s="3" t="str">
        <f t="shared" si="1"/>
        <v>I</v>
      </c>
      <c r="C35" s="9">
        <f t="shared" si="2"/>
        <v>56908.505499999999</v>
      </c>
      <c r="D35" s="11" t="str">
        <f t="shared" si="3"/>
        <v>vis</v>
      </c>
      <c r="E35" s="56">
        <f>VLOOKUP(C35,Active!C$21:E$973,3,FALSE)</f>
        <v>80069.649570305002</v>
      </c>
      <c r="F35" s="3" t="s">
        <v>62</v>
      </c>
      <c r="G35" s="11" t="str">
        <f t="shared" si="4"/>
        <v>56908.5055</v>
      </c>
      <c r="H35" s="9">
        <f t="shared" si="5"/>
        <v>120224</v>
      </c>
      <c r="I35" s="57" t="s">
        <v>195</v>
      </c>
      <c r="J35" s="58" t="s">
        <v>196</v>
      </c>
      <c r="K35" s="57" t="s">
        <v>197</v>
      </c>
      <c r="L35" s="57" t="s">
        <v>198</v>
      </c>
      <c r="M35" s="58" t="s">
        <v>105</v>
      </c>
      <c r="N35" s="58" t="s">
        <v>112</v>
      </c>
      <c r="O35" s="59" t="s">
        <v>113</v>
      </c>
      <c r="P35" s="60" t="s">
        <v>194</v>
      </c>
    </row>
    <row r="36" spans="1:16" ht="12.75" customHeight="1" thickBot="1" x14ac:dyDescent="0.25">
      <c r="A36" s="9" t="str">
        <f t="shared" si="0"/>
        <v> BBS 120 </v>
      </c>
      <c r="B36" s="3" t="str">
        <f t="shared" si="1"/>
        <v>II</v>
      </c>
      <c r="C36" s="9">
        <f t="shared" si="2"/>
        <v>51362.451099999998</v>
      </c>
      <c r="D36" s="11" t="str">
        <f t="shared" si="3"/>
        <v>vis</v>
      </c>
      <c r="E36" s="56">
        <f>VLOOKUP(C36,Active!C$21:E$973,3,FALSE)</f>
        <v>63728.498234636703</v>
      </c>
      <c r="F36" s="3" t="s">
        <v>62</v>
      </c>
      <c r="G36" s="11" t="str">
        <f t="shared" si="4"/>
        <v>51362.4511</v>
      </c>
      <c r="H36" s="9">
        <f t="shared" si="5"/>
        <v>95687.5</v>
      </c>
      <c r="I36" s="57" t="s">
        <v>78</v>
      </c>
      <c r="J36" s="58" t="s">
        <v>79</v>
      </c>
      <c r="K36" s="57">
        <v>95687.5</v>
      </c>
      <c r="L36" s="57" t="s">
        <v>80</v>
      </c>
      <c r="M36" s="58" t="s">
        <v>67</v>
      </c>
      <c r="N36" s="58" t="s">
        <v>68</v>
      </c>
      <c r="O36" s="59" t="s">
        <v>81</v>
      </c>
      <c r="P36" s="59" t="s">
        <v>82</v>
      </c>
    </row>
    <row r="37" spans="1:16" ht="12.75" customHeight="1" thickBot="1" x14ac:dyDescent="0.25">
      <c r="A37" s="9" t="str">
        <f t="shared" si="0"/>
        <v> BBS 121 </v>
      </c>
      <c r="B37" s="3" t="str">
        <f t="shared" si="1"/>
        <v>I</v>
      </c>
      <c r="C37" s="9">
        <f t="shared" si="2"/>
        <v>51385.362999999998</v>
      </c>
      <c r="D37" s="11" t="str">
        <f t="shared" si="3"/>
        <v>vis</v>
      </c>
      <c r="E37" s="56">
        <f>VLOOKUP(C37,Active!C$21:E$973,3,FALSE)</f>
        <v>63796.006917077269</v>
      </c>
      <c r="F37" s="3" t="s">
        <v>62</v>
      </c>
      <c r="G37" s="11" t="str">
        <f t="shared" si="4"/>
        <v>51385.3630</v>
      </c>
      <c r="H37" s="9">
        <f t="shared" si="5"/>
        <v>95789</v>
      </c>
      <c r="I37" s="57" t="s">
        <v>83</v>
      </c>
      <c r="J37" s="58" t="s">
        <v>84</v>
      </c>
      <c r="K37" s="57">
        <v>95789</v>
      </c>
      <c r="L37" s="57" t="s">
        <v>85</v>
      </c>
      <c r="M37" s="58" t="s">
        <v>67</v>
      </c>
      <c r="N37" s="58" t="s">
        <v>68</v>
      </c>
      <c r="O37" s="59" t="s">
        <v>81</v>
      </c>
      <c r="P37" s="59" t="s">
        <v>86</v>
      </c>
    </row>
    <row r="38" spans="1:16" ht="12.75" customHeight="1" thickBot="1" x14ac:dyDescent="0.25">
      <c r="A38" s="9" t="str">
        <f t="shared" si="0"/>
        <v> BBS 121 </v>
      </c>
      <c r="B38" s="3" t="str">
        <f t="shared" si="1"/>
        <v>I</v>
      </c>
      <c r="C38" s="9">
        <f t="shared" si="2"/>
        <v>51404.367599999998</v>
      </c>
      <c r="D38" s="11" t="str">
        <f t="shared" si="3"/>
        <v>vis</v>
      </c>
      <c r="E38" s="56">
        <f>VLOOKUP(C38,Active!C$21:E$973,3,FALSE)</f>
        <v>63852.002949982001</v>
      </c>
      <c r="F38" s="3" t="s">
        <v>62</v>
      </c>
      <c r="G38" s="11" t="str">
        <f t="shared" si="4"/>
        <v>51404.3676</v>
      </c>
      <c r="H38" s="9">
        <f t="shared" si="5"/>
        <v>95873</v>
      </c>
      <c r="I38" s="57" t="s">
        <v>87</v>
      </c>
      <c r="J38" s="58" t="s">
        <v>88</v>
      </c>
      <c r="K38" s="57">
        <v>95873</v>
      </c>
      <c r="L38" s="57" t="s">
        <v>89</v>
      </c>
      <c r="M38" s="58" t="s">
        <v>67</v>
      </c>
      <c r="N38" s="58" t="s">
        <v>68</v>
      </c>
      <c r="O38" s="59" t="s">
        <v>81</v>
      </c>
      <c r="P38" s="59" t="s">
        <v>86</v>
      </c>
    </row>
    <row r="39" spans="1:16" ht="12.75" customHeight="1" thickBot="1" x14ac:dyDescent="0.25">
      <c r="A39" s="9" t="str">
        <f t="shared" si="0"/>
        <v> BBS 125 </v>
      </c>
      <c r="B39" s="3" t="str">
        <f t="shared" si="1"/>
        <v>II</v>
      </c>
      <c r="C39" s="9">
        <f t="shared" si="2"/>
        <v>52000.506999999998</v>
      </c>
      <c r="D39" s="11" t="str">
        <f t="shared" si="3"/>
        <v>vis</v>
      </c>
      <c r="E39" s="56">
        <f>VLOOKUP(C39,Active!C$21:E$973,3,FALSE)</f>
        <v>65608.495665335548</v>
      </c>
      <c r="F39" s="3" t="s">
        <v>62</v>
      </c>
      <c r="G39" s="11" t="str">
        <f t="shared" si="4"/>
        <v>52000.507</v>
      </c>
      <c r="H39" s="9">
        <f t="shared" si="5"/>
        <v>98510.5</v>
      </c>
      <c r="I39" s="57" t="s">
        <v>90</v>
      </c>
      <c r="J39" s="58" t="s">
        <v>91</v>
      </c>
      <c r="K39" s="57">
        <v>98510.5</v>
      </c>
      <c r="L39" s="57" t="s">
        <v>92</v>
      </c>
      <c r="M39" s="58" t="s">
        <v>67</v>
      </c>
      <c r="N39" s="58" t="s">
        <v>68</v>
      </c>
      <c r="O39" s="59" t="s">
        <v>69</v>
      </c>
      <c r="P39" s="59" t="s">
        <v>93</v>
      </c>
    </row>
    <row r="40" spans="1:16" ht="12.75" customHeight="1" thickBot="1" x14ac:dyDescent="0.25">
      <c r="A40" s="9" t="str">
        <f t="shared" si="0"/>
        <v> BBS 126 </v>
      </c>
      <c r="B40" s="3" t="str">
        <f t="shared" si="1"/>
        <v>II</v>
      </c>
      <c r="C40" s="9">
        <f t="shared" si="2"/>
        <v>52143.390599999999</v>
      </c>
      <c r="D40" s="11" t="str">
        <f t="shared" si="3"/>
        <v>vis</v>
      </c>
      <c r="E40" s="56">
        <f>VLOOKUP(C40,Active!C$21:E$973,3,FALSE)</f>
        <v>66029.494516516148</v>
      </c>
      <c r="F40" s="3" t="s">
        <v>62</v>
      </c>
      <c r="G40" s="11" t="str">
        <f t="shared" si="4"/>
        <v>52143.3906</v>
      </c>
      <c r="H40" s="9">
        <f t="shared" si="5"/>
        <v>99142.5</v>
      </c>
      <c r="I40" s="57" t="s">
        <v>94</v>
      </c>
      <c r="J40" s="58" t="s">
        <v>95</v>
      </c>
      <c r="K40" s="57">
        <v>99142.5</v>
      </c>
      <c r="L40" s="57" t="s">
        <v>96</v>
      </c>
      <c r="M40" s="58" t="s">
        <v>67</v>
      </c>
      <c r="N40" s="58" t="s">
        <v>68</v>
      </c>
      <c r="O40" s="59" t="s">
        <v>81</v>
      </c>
      <c r="P40" s="59" t="s">
        <v>97</v>
      </c>
    </row>
    <row r="41" spans="1:16" x14ac:dyDescent="0.2">
      <c r="B41" s="3"/>
      <c r="E41" s="56"/>
      <c r="F41" s="3"/>
    </row>
    <row r="42" spans="1:16" x14ac:dyDescent="0.2">
      <c r="B42" s="3"/>
      <c r="E42" s="56"/>
      <c r="F42" s="3"/>
    </row>
    <row r="43" spans="1:16" x14ac:dyDescent="0.2">
      <c r="B43" s="3"/>
      <c r="E43" s="56"/>
      <c r="F43" s="3"/>
    </row>
    <row r="44" spans="1:16" x14ac:dyDescent="0.2">
      <c r="B44" s="3"/>
      <c r="E44" s="56"/>
      <c r="F44" s="3"/>
    </row>
    <row r="45" spans="1:16" x14ac:dyDescent="0.2">
      <c r="B45" s="3"/>
      <c r="E45" s="56"/>
      <c r="F45" s="3"/>
    </row>
    <row r="46" spans="1:16" x14ac:dyDescent="0.2">
      <c r="B46" s="3"/>
      <c r="E46" s="56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</sheetData>
  <phoneticPr fontId="7" type="noConversion"/>
  <hyperlinks>
    <hyperlink ref="P11" r:id="rId1" display="http://www.konkoly.hu/cgi-bin/IBVS?4663"/>
    <hyperlink ref="P12" r:id="rId2" display="http://www.konkoly.hu/cgi-bin/IBVS?5027"/>
    <hyperlink ref="P13" r:id="rId3" display="http://www.konkoly.hu/cgi-bin/IBVS?5027"/>
    <hyperlink ref="P15" r:id="rId4" display="http://www.bav-astro.de/sfs/BAVM_link.php?BAVMnr=215"/>
    <hyperlink ref="P16" r:id="rId5" display="http://www.bav-astro.de/sfs/BAVM_link.php?BAVMnr=215"/>
    <hyperlink ref="P17" r:id="rId6" display="http://www.bav-astro.de/sfs/BAVM_link.php?BAVMnr=215"/>
    <hyperlink ref="P18" r:id="rId7" display="http://www.bav-astro.de/sfs/BAVM_link.php?BAVMnr=215"/>
    <hyperlink ref="P19" r:id="rId8" display="http://www.bav-astro.de/sfs/BAVM_link.php?BAVMnr=215"/>
    <hyperlink ref="P20" r:id="rId9" display="http://www.bav-astro.de/sfs/BAVM_link.php?BAVMnr=215"/>
    <hyperlink ref="P21" r:id="rId10" display="http://www.bav-astro.de/sfs/BAVM_link.php?BAVMnr=215"/>
    <hyperlink ref="P22" r:id="rId11" display="http://www.konkoly.hu/cgi-bin/IBVS?5929"/>
    <hyperlink ref="P23" r:id="rId12" display="http://www.bav-astro.de/sfs/BAVM_link.php?BAVMnr=215"/>
    <hyperlink ref="P24" r:id="rId13" display="http://www.bav-astro.de/sfs/BAVM_link.php?BAVMnr=215"/>
    <hyperlink ref="P25" r:id="rId14" display="http://www.konkoly.hu/cgi-bin/IBVS?5945"/>
    <hyperlink ref="P26" r:id="rId15" display="http://www.bav-astro.de/sfs/BAVM_link.php?BAVMnr=215"/>
    <hyperlink ref="P27" r:id="rId16" display="http://www.bav-astro.de/sfs/BAVM_link.php?BAVMnr=215"/>
    <hyperlink ref="P28" r:id="rId17" display="http://www.bav-astro.de/sfs/BAVM_link.php?BAVMnr=215"/>
    <hyperlink ref="P29" r:id="rId18" display="http://www.bav-astro.de/sfs/BAVM_link.php?BAVMnr=215"/>
    <hyperlink ref="P30" r:id="rId19" display="http://www.bav-astro.de/sfs/BAVM_link.php?BAVMnr=220"/>
    <hyperlink ref="P31" r:id="rId20" display="http://www.bav-astro.de/sfs/BAVM_link.php?BAVMnr=220"/>
    <hyperlink ref="P32" r:id="rId21" display="http://www.bav-astro.de/sfs/BAVM_link.php?BAVMnr=220"/>
    <hyperlink ref="P33" r:id="rId22" display="http://www.bav-astro.de/sfs/BAVM_link.php?BAVMnr=231"/>
    <hyperlink ref="P34" r:id="rId23" display="http://www.bav-astro.de/sfs/BAVM_link.php?BAVMnr=239"/>
    <hyperlink ref="P35" r:id="rId24" display="http://www.bav-astro.de/sfs/BAVM_link.php?BAVMnr=23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2023-01-14T06:15:01Z</dcterms:modified>
</cp:coreProperties>
</file>