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40CA957-697C-4801-A54C-525FCC5E254D}" xr6:coauthVersionLast="47" xr6:coauthVersionMax="47" xr10:uidLastSave="{00000000-0000-0000-0000-000000000000}"/>
  <bookViews>
    <workbookView xWindow="14985" yWindow="720" windowWidth="1398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J38" i="1" s="1"/>
  <c r="Q38" i="1"/>
  <c r="F11" i="1"/>
  <c r="Q24" i="1"/>
  <c r="Q25" i="1"/>
  <c r="Q27" i="1"/>
  <c r="Q37" i="1"/>
  <c r="G26" i="2"/>
  <c r="C26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25" i="2"/>
  <c r="C25" i="2"/>
  <c r="G13" i="2"/>
  <c r="C13" i="2"/>
  <c r="G24" i="2"/>
  <c r="C24" i="2"/>
  <c r="G23" i="2"/>
  <c r="C23" i="2"/>
  <c r="G12" i="2"/>
  <c r="C12" i="2"/>
  <c r="G11" i="2"/>
  <c r="C11" i="2"/>
  <c r="E11" i="2"/>
  <c r="H26" i="2"/>
  <c r="B26" i="2"/>
  <c r="D26" i="2"/>
  <c r="A26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25" i="2"/>
  <c r="B25" i="2"/>
  <c r="D25" i="2"/>
  <c r="A25" i="2"/>
  <c r="H13" i="2"/>
  <c r="D13" i="2"/>
  <c r="B13" i="2"/>
  <c r="A13" i="2"/>
  <c r="H24" i="2"/>
  <c r="B24" i="2"/>
  <c r="D24" i="2"/>
  <c r="A24" i="2"/>
  <c r="H23" i="2"/>
  <c r="D23" i="2"/>
  <c r="B23" i="2"/>
  <c r="A23" i="2"/>
  <c r="H12" i="2"/>
  <c r="B12" i="2"/>
  <c r="D12" i="2"/>
  <c r="A12" i="2"/>
  <c r="H11" i="2"/>
  <c r="D11" i="2"/>
  <c r="B11" i="2"/>
  <c r="A11" i="2"/>
  <c r="G11" i="1"/>
  <c r="Q36" i="1"/>
  <c r="C7" i="1"/>
  <c r="E24" i="1"/>
  <c r="F24" i="1"/>
  <c r="C8" i="1"/>
  <c r="E27" i="1"/>
  <c r="F27" i="1"/>
  <c r="E21" i="1"/>
  <c r="F21" i="1"/>
  <c r="Q34" i="1"/>
  <c r="Q35" i="1"/>
  <c r="E14" i="1"/>
  <c r="C17" i="1"/>
  <c r="Q33" i="1"/>
  <c r="Q32" i="1"/>
  <c r="Q31" i="1"/>
  <c r="Q30" i="1"/>
  <c r="Q26" i="1"/>
  <c r="Q28" i="1"/>
  <c r="Q29" i="1"/>
  <c r="Q22" i="1"/>
  <c r="Q23" i="1"/>
  <c r="Q21" i="1"/>
  <c r="E23" i="2"/>
  <c r="E25" i="2"/>
  <c r="E16" i="2"/>
  <c r="E31" i="1"/>
  <c r="F31" i="1"/>
  <c r="G31" i="1"/>
  <c r="J31" i="1"/>
  <c r="E36" i="1"/>
  <c r="F36" i="1"/>
  <c r="G36" i="1"/>
  <c r="J36" i="1"/>
  <c r="E28" i="1"/>
  <c r="F28" i="1"/>
  <c r="E33" i="1"/>
  <c r="F33" i="1"/>
  <c r="G33" i="1"/>
  <c r="J33" i="1"/>
  <c r="E22" i="1"/>
  <c r="F22" i="1"/>
  <c r="G22" i="1"/>
  <c r="E30" i="1"/>
  <c r="F30" i="1"/>
  <c r="G30" i="1"/>
  <c r="J30" i="1"/>
  <c r="E25" i="1"/>
  <c r="F25" i="1"/>
  <c r="G25" i="1"/>
  <c r="K25" i="1"/>
  <c r="E35" i="1"/>
  <c r="F35" i="1"/>
  <c r="G35" i="1"/>
  <c r="J35" i="1"/>
  <c r="E26" i="1"/>
  <c r="F26" i="1"/>
  <c r="G26" i="1"/>
  <c r="J26" i="1"/>
  <c r="E32" i="1"/>
  <c r="F32" i="1"/>
  <c r="G32" i="1"/>
  <c r="J32" i="1"/>
  <c r="E37" i="1"/>
  <c r="F37" i="1"/>
  <c r="G37" i="1"/>
  <c r="J37" i="1"/>
  <c r="G24" i="1"/>
  <c r="K24" i="1"/>
  <c r="E29" i="1"/>
  <c r="F29" i="1"/>
  <c r="G29" i="1"/>
  <c r="J29" i="1"/>
  <c r="G27" i="1"/>
  <c r="K27" i="1"/>
  <c r="E34" i="1"/>
  <c r="F34" i="1"/>
  <c r="G34" i="1"/>
  <c r="J34" i="1"/>
  <c r="G28" i="1"/>
  <c r="J28" i="1"/>
  <c r="E23" i="1"/>
  <c r="F23" i="1"/>
  <c r="G23" i="1"/>
  <c r="I23" i="1"/>
  <c r="E18" i="2"/>
  <c r="E20" i="2"/>
  <c r="E13" i="2"/>
  <c r="E15" i="2"/>
  <c r="E21" i="2"/>
  <c r="E12" i="2"/>
  <c r="E24" i="2"/>
  <c r="I22" i="1"/>
  <c r="E19" i="2"/>
  <c r="E26" i="2"/>
  <c r="E14" i="2"/>
  <c r="E17" i="2"/>
  <c r="E22" i="2"/>
  <c r="C11" i="1"/>
  <c r="C12" i="1"/>
  <c r="O38" i="1" l="1"/>
  <c r="C16" i="1"/>
  <c r="D18" i="1" s="1"/>
  <c r="O35" i="1"/>
  <c r="O25" i="1"/>
  <c r="O30" i="1"/>
  <c r="O37" i="1"/>
  <c r="O36" i="1"/>
  <c r="O26" i="1"/>
  <c r="O33" i="1"/>
  <c r="O29" i="1"/>
  <c r="O31" i="1"/>
  <c r="O34" i="1"/>
  <c r="O21" i="1"/>
  <c r="O23" i="1"/>
  <c r="O32" i="1"/>
  <c r="O27" i="1"/>
  <c r="O28" i="1"/>
  <c r="C15" i="1"/>
  <c r="E16" i="1" s="1"/>
  <c r="O22" i="1"/>
  <c r="O24" i="1"/>
  <c r="E15" i="1"/>
  <c r="E17" i="1" l="1"/>
  <c r="C18" i="1"/>
</calcChain>
</file>

<file path=xl/sharedStrings.xml><?xml version="1.0" encoding="utf-8"?>
<sst xmlns="http://schemas.openxmlformats.org/spreadsheetml/2006/main" count="227" uniqueCount="153">
  <si>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</si>
  <si>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</si>
  <si>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</si>
  <si>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</si>
  <si>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</si>
  <si>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</si>
  <si>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</si>
  <si>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</si>
  <si>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</si>
  <si>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</si>
  <si>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</si>
  <si>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</si>
  <si>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</si>
  <si>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</si>
  <si>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</si>
  <si>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</si>
  <si>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</si>
  <si>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</si>
  <si>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</si>
  <si>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</si>
  <si>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</si>
  <si>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</si>
  <si>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</si>
  <si>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</si>
  <si>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</si>
  <si>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</si>
  <si>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</si>
  <si>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</si>
  <si>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</si>
  <si>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</si>
  <si>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Bull.115</t>
  </si>
  <si>
    <t>B</t>
  </si>
  <si>
    <t>BBSAG Bull.118</t>
  </si>
  <si>
    <t>BBSAG</t>
  </si>
  <si>
    <t>IBVS 5484</t>
  </si>
  <si>
    <t>IBVS</t>
  </si>
  <si>
    <t>IBVS 5296</t>
  </si>
  <si>
    <t>EW/KE</t>
  </si>
  <si>
    <t>IBVS 5677</t>
  </si>
  <si>
    <t>I</t>
  </si>
  <si>
    <t># of data points:</t>
  </si>
  <si>
    <t>IBVS 5731</t>
  </si>
  <si>
    <t>IBVS 5837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</si>
  <si>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</si>
  <si>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</si>
  <si>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</si>
  <si>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</si>
  <si>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</si>
  <si>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</si>
  <si>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</si>
  <si>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</si>
  <si>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5874</t>
  </si>
  <si>
    <t>Add cycle</t>
  </si>
  <si>
    <t>Old Cycle</t>
  </si>
  <si>
    <t>IBVS 5992</t>
  </si>
  <si>
    <t>IBVS 6010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</si>
  <si>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</si>
  <si>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</si>
  <si>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</si>
  <si>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</si>
  <si>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</si>
  <si>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</si>
  <si>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</si>
  <si>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</si>
  <si>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</si>
  <si>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</si>
  <si>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</si>
  <si>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</si>
  <si>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2450587.4022 </t>
  </si>
  <si>
    <t> 18.05.1997 21:39 </t>
  </si>
  <si>
    <t> 0.1086 </t>
  </si>
  <si>
    <t>E </t>
  </si>
  <si>
    <t>?</t>
  </si>
  <si>
    <t> R.Diethelm </t>
  </si>
  <si>
    <t> BBS 115 </t>
  </si>
  <si>
    <t>2450946.445 </t>
  </si>
  <si>
    <t> 12.05.1998 22:40 </t>
  </si>
  <si>
    <t> 0.095 </t>
  </si>
  <si>
    <t> BBS 118 </t>
  </si>
  <si>
    <t>2452000.609 </t>
  </si>
  <si>
    <t> 01.04.2001 02:36 </t>
  </si>
  <si>
    <t> 0.059 </t>
  </si>
  <si>
    <t> BBS 125 </t>
  </si>
  <si>
    <t>2452053.4196 </t>
  </si>
  <si>
    <t> 23.05.2001 22:04 </t>
  </si>
  <si>
    <t> 0.0674 </t>
  </si>
  <si>
    <t>2452117.5066 </t>
  </si>
  <si>
    <t> 27.07.2001 00:09 </t>
  </si>
  <si>
    <t> -0.0005 </t>
  </si>
  <si>
    <t>o</t>
  </si>
  <si>
    <t> K.&amp; M.Rätz </t>
  </si>
  <si>
    <t>BAVM 152 </t>
  </si>
  <si>
    <t>2452344.6222 </t>
  </si>
  <si>
    <t> 11.03.2002 02:55 </t>
  </si>
  <si>
    <t> 0.0648 </t>
  </si>
  <si>
    <t> BBS 127 </t>
  </si>
  <si>
    <t>2452371.5551 </t>
  </si>
  <si>
    <t> 07.04.2002 01:19 </t>
  </si>
  <si>
    <t> 0.0684 </t>
  </si>
  <si>
    <t>V;-I</t>
  </si>
  <si>
    <t>BAVM 158 </t>
  </si>
  <si>
    <t>2452408.4989 </t>
  </si>
  <si>
    <t> 13.05.2002 23:58 </t>
  </si>
  <si>
    <t> 0.0505 </t>
  </si>
  <si>
    <t>-I</t>
  </si>
  <si>
    <t> F.Agerer </t>
  </si>
  <si>
    <t>2453479.779 </t>
  </si>
  <si>
    <t> 19.04.2005 06:41 </t>
  </si>
  <si>
    <t>22502</t>
  </si>
  <si>
    <t> -0.030 </t>
  </si>
  <si>
    <t> S.Dvorak </t>
  </si>
  <si>
    <t>IBVS 5677 </t>
  </si>
  <si>
    <t>2453849.4712 </t>
  </si>
  <si>
    <t> 23.04.2006 23:18 </t>
  </si>
  <si>
    <t>23202</t>
  </si>
  <si>
    <t> 0.0454 </t>
  </si>
  <si>
    <t>C </t>
  </si>
  <si>
    <t>BAVM 178 </t>
  </si>
  <si>
    <t>2454297.4393 </t>
  </si>
  <si>
    <t> 15.07.2007 22:32 </t>
  </si>
  <si>
    <t>24050.5</t>
  </si>
  <si>
    <t> -0.0149 </t>
  </si>
  <si>
    <t>IBVS 5837 </t>
  </si>
  <si>
    <t>2454593.4434 </t>
  </si>
  <si>
    <t> 06.05.2008 22:38 </t>
  </si>
  <si>
    <t>24611</t>
  </si>
  <si>
    <t> 0.0317 </t>
  </si>
  <si>
    <t> U.Schmidt </t>
  </si>
  <si>
    <t>BAVM 201 </t>
  </si>
  <si>
    <t>2455727.7728 </t>
  </si>
  <si>
    <t> 15.06.2011 06:32 </t>
  </si>
  <si>
    <t>26759</t>
  </si>
  <si>
    <t> 0.1656 </t>
  </si>
  <si>
    <t>IBVS 5992 </t>
  </si>
  <si>
    <t>2455741.5505 </t>
  </si>
  <si>
    <t> 29.06.2011 01:12 </t>
  </si>
  <si>
    <t>26785.5</t>
  </si>
  <si>
    <t> -0.0494 </t>
  </si>
  <si>
    <t>BAVM 220 </t>
  </si>
  <si>
    <t>2456074.9186 </t>
  </si>
  <si>
    <t> 27.05.2012 10:02 </t>
  </si>
  <si>
    <t>27417</t>
  </si>
  <si>
    <t> -0.1284 </t>
  </si>
  <si>
    <t>IBVS 6029 </t>
  </si>
  <si>
    <t>2457121.5735 </t>
  </si>
  <si>
    <t> 09.04.2015 01:45 </t>
  </si>
  <si>
    <t>29399</t>
  </si>
  <si>
    <t> -0.0171 </t>
  </si>
  <si>
    <t> W.Moschner &amp; P.Frank </t>
  </si>
  <si>
    <t>BAVM 241 (=IBVS 6157) </t>
  </si>
  <si>
    <t>IBVS 6157</t>
  </si>
  <si>
    <t>JBAV, 76</t>
  </si>
  <si>
    <t>V0733 Her / gsc 3512-0263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</si>
</sst>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66"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>
      <alignment vertical="top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8" fillId="0" borderId="0" xfId="0" applyFont="1" applyAlignment="1"/>
    <xf numFmtId="14" fontId="14" fillId="0" borderId="0" xfId="0" applyNumberFormat="1" applyFont="1" applyAlignment="1"/>
    <xf numFmtId="0" fontId="14" fillId="0" borderId="0" xfId="0" applyFont="1" applyAlignment="1">
      <alignment horizontal="center" wrapText="1"/>
    </xf>
    <xf numFmtId="0" fontId="14" fillId="0" borderId="0" xfId="0" applyNumberFormat="1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6" fontId="20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V0733 Her - O-C Diagr.</a:t>
            </a:r>
          </a:p>
        </c:rich>
      </c:tx>
      <c:layout>
        <c:manualLayout>
          <c:xMode val="edge"/>
          <c:yMode val="edge"/>
          <c:x val="0.3285128305242835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47941700774088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17024</c:v>
                </c:pt>
                <c:pt idx="2">
                  <c:v>17704</c:v>
                </c:pt>
                <c:pt idx="3">
                  <c:v>19700.5</c:v>
                </c:pt>
                <c:pt idx="4">
                  <c:v>19800.5</c:v>
                </c:pt>
                <c:pt idx="5">
                  <c:v>19922</c:v>
                </c:pt>
                <c:pt idx="6">
                  <c:v>20352</c:v>
                </c:pt>
                <c:pt idx="7">
                  <c:v>20403</c:v>
                </c:pt>
                <c:pt idx="8">
                  <c:v>20473</c:v>
                </c:pt>
                <c:pt idx="9">
                  <c:v>22502</c:v>
                </c:pt>
                <c:pt idx="10">
                  <c:v>23202</c:v>
                </c:pt>
                <c:pt idx="11">
                  <c:v>24050.5</c:v>
                </c:pt>
                <c:pt idx="12">
                  <c:v>24611</c:v>
                </c:pt>
                <c:pt idx="13">
                  <c:v>26759.5</c:v>
                </c:pt>
                <c:pt idx="14">
                  <c:v>26785.5</c:v>
                </c:pt>
                <c:pt idx="15">
                  <c:v>27417</c:v>
                </c:pt>
                <c:pt idx="16">
                  <c:v>29399</c:v>
                </c:pt>
                <c:pt idx="17">
                  <c:v>34400.5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1D-45EE-A0E6-C390617C0A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1E-3</c:v>
                  </c:pt>
                  <c:pt idx="10">
                    <c:v>1.1999999999999999E-3</c:v>
                  </c:pt>
                  <c:pt idx="12">
                    <c:v>2.0999999999999999E-3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1E-3</c:v>
                  </c:pt>
                  <c:pt idx="10">
                    <c:v>1.1999999999999999E-3</c:v>
                  </c:pt>
                  <c:pt idx="12">
                    <c:v>2.0999999999999999E-3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17024</c:v>
                </c:pt>
                <c:pt idx="2">
                  <c:v>17704</c:v>
                </c:pt>
                <c:pt idx="3">
                  <c:v>19700.5</c:v>
                </c:pt>
                <c:pt idx="4">
                  <c:v>19800.5</c:v>
                </c:pt>
                <c:pt idx="5">
                  <c:v>19922</c:v>
                </c:pt>
                <c:pt idx="6">
                  <c:v>20352</c:v>
                </c:pt>
                <c:pt idx="7">
                  <c:v>20403</c:v>
                </c:pt>
                <c:pt idx="8">
                  <c:v>20473</c:v>
                </c:pt>
                <c:pt idx="9">
                  <c:v>22502</c:v>
                </c:pt>
                <c:pt idx="10">
                  <c:v>23202</c:v>
                </c:pt>
                <c:pt idx="11">
                  <c:v>24050.5</c:v>
                </c:pt>
                <c:pt idx="12">
                  <c:v>24611</c:v>
                </c:pt>
                <c:pt idx="13">
                  <c:v>26759.5</c:v>
                </c:pt>
                <c:pt idx="14">
                  <c:v>26785.5</c:v>
                </c:pt>
                <c:pt idx="15">
                  <c:v>27417</c:v>
                </c:pt>
                <c:pt idx="16">
                  <c:v>29399</c:v>
                </c:pt>
                <c:pt idx="17">
                  <c:v>34400.5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0.10842399999819463</c:v>
                </c:pt>
                <c:pt idx="2">
                  <c:v>9.5103999999992084E-2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1D-45EE-A0E6-C390617C0A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Active!$D$21:$D$941</c:f>
                <c:numCache>
                  <c:formatCode>General</c:formatCode>
                  <c:ptCount val="921"/>
                  <c:pt idx="0">
                    <c:v>0</c:v>
                  </c:pt>
                  <c:pt idx="1">
                    <c:v>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1E-3</c:v>
                  </c:pt>
                  <c:pt idx="10">
                    <c:v>1.1999999999999999E-3</c:v>
                  </c:pt>
                  <c:pt idx="12">
                    <c:v>2.0999999999999999E-3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Active!$D$21:$D$941</c:f>
                <c:numCache>
                  <c:formatCode>General</c:formatCode>
                  <c:ptCount val="921"/>
                  <c:pt idx="0">
                    <c:v>0</c:v>
                  </c:pt>
                  <c:pt idx="1">
                    <c:v>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1E-3</c:v>
                  </c:pt>
                  <c:pt idx="10">
                    <c:v>1.1999999999999999E-3</c:v>
                  </c:pt>
                  <c:pt idx="12">
                    <c:v>2.0999999999999999E-3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17024</c:v>
                </c:pt>
                <c:pt idx="2">
                  <c:v>17704</c:v>
                </c:pt>
                <c:pt idx="3">
                  <c:v>19700.5</c:v>
                </c:pt>
                <c:pt idx="4">
                  <c:v>19800.5</c:v>
                </c:pt>
                <c:pt idx="5">
                  <c:v>19922</c:v>
                </c:pt>
                <c:pt idx="6">
                  <c:v>20352</c:v>
                </c:pt>
                <c:pt idx="7">
                  <c:v>20403</c:v>
                </c:pt>
                <c:pt idx="8">
                  <c:v>20473</c:v>
                </c:pt>
                <c:pt idx="9">
                  <c:v>22502</c:v>
                </c:pt>
                <c:pt idx="10">
                  <c:v>23202</c:v>
                </c:pt>
                <c:pt idx="11">
                  <c:v>24050.5</c:v>
                </c:pt>
                <c:pt idx="12">
                  <c:v>24611</c:v>
                </c:pt>
                <c:pt idx="13">
                  <c:v>26759.5</c:v>
                </c:pt>
                <c:pt idx="14">
                  <c:v>26785.5</c:v>
                </c:pt>
                <c:pt idx="15">
                  <c:v>27417</c:v>
                </c:pt>
                <c:pt idx="16">
                  <c:v>29399</c:v>
                </c:pt>
                <c:pt idx="17">
                  <c:v>34400.5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">
                  <c:v>-5.2800000412389636E-4</c:v>
                </c:pt>
                <c:pt idx="7">
                  <c:v>6.8427999991399702E-2</c:v>
                </c:pt>
                <c:pt idx="8">
                  <c:v>5.0547999991977122E-2</c:v>
                </c:pt>
                <c:pt idx="9">
                  <c:v>-3.0048000000533648E-2</c:v>
                </c:pt>
                <c:pt idx="10">
                  <c:v>4.5351999993727077E-2</c:v>
                </c:pt>
                <c:pt idx="11">
                  <c:v>-1.4912000006006565E-2</c:v>
                </c:pt>
                <c:pt idx="12">
                  <c:v>3.1735999989905395E-2</c:v>
                </c:pt>
                <c:pt idx="13">
                  <c:v>-9.8428000004787464E-2</c:v>
                </c:pt>
                <c:pt idx="14">
                  <c:v>-4.9352000009093899E-2</c:v>
                </c:pt>
                <c:pt idx="15">
                  <c:v>-0.12840800001140451</c:v>
                </c:pt>
                <c:pt idx="16">
                  <c:v>-1.7076000003726222E-2</c:v>
                </c:pt>
                <c:pt idx="17">
                  <c:v>-6.5412000003561843E-2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1D-45EE-A0E6-C390617C0A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1E-3</c:v>
                  </c:pt>
                  <c:pt idx="10">
                    <c:v>1.1999999999999999E-3</c:v>
                  </c:pt>
                  <c:pt idx="12">
                    <c:v>2.0999999999999999E-3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1E-3</c:v>
                  </c:pt>
                  <c:pt idx="10">
                    <c:v>1.1999999999999999E-3</c:v>
                  </c:pt>
                  <c:pt idx="12">
                    <c:v>2.0999999999999999E-3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17024</c:v>
                </c:pt>
                <c:pt idx="2">
                  <c:v>17704</c:v>
                </c:pt>
                <c:pt idx="3">
                  <c:v>19700.5</c:v>
                </c:pt>
                <c:pt idx="4">
                  <c:v>19800.5</c:v>
                </c:pt>
                <c:pt idx="5">
                  <c:v>19922</c:v>
                </c:pt>
                <c:pt idx="6">
                  <c:v>20352</c:v>
                </c:pt>
                <c:pt idx="7">
                  <c:v>20403</c:v>
                </c:pt>
                <c:pt idx="8">
                  <c:v>20473</c:v>
                </c:pt>
                <c:pt idx="9">
                  <c:v>22502</c:v>
                </c:pt>
                <c:pt idx="10">
                  <c:v>23202</c:v>
                </c:pt>
                <c:pt idx="11">
                  <c:v>24050.5</c:v>
                </c:pt>
                <c:pt idx="12">
                  <c:v>24611</c:v>
                </c:pt>
                <c:pt idx="13">
                  <c:v>26759.5</c:v>
                </c:pt>
                <c:pt idx="14">
                  <c:v>26785.5</c:v>
                </c:pt>
                <c:pt idx="15">
                  <c:v>27417</c:v>
                </c:pt>
                <c:pt idx="16">
                  <c:v>29399</c:v>
                </c:pt>
                <c:pt idx="17">
                  <c:v>34400.5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">
                  <c:v>5.9187999991991092E-2</c:v>
                </c:pt>
                <c:pt idx="4">
                  <c:v>6.7387999995844439E-2</c:v>
                </c:pt>
                <c:pt idx="6">
                  <c:v>6.4751999991131015E-2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1D-45EE-A0E6-C390617C0A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1E-3</c:v>
                  </c:pt>
                  <c:pt idx="10">
                    <c:v>1.1999999999999999E-3</c:v>
                  </c:pt>
                  <c:pt idx="12">
                    <c:v>2.0999999999999999E-3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1E-3</c:v>
                  </c:pt>
                  <c:pt idx="10">
                    <c:v>1.1999999999999999E-3</c:v>
                  </c:pt>
                  <c:pt idx="12">
                    <c:v>2.0999999999999999E-3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17024</c:v>
                </c:pt>
                <c:pt idx="2">
                  <c:v>17704</c:v>
                </c:pt>
                <c:pt idx="3">
                  <c:v>19700.5</c:v>
                </c:pt>
                <c:pt idx="4">
                  <c:v>19800.5</c:v>
                </c:pt>
                <c:pt idx="5">
                  <c:v>19922</c:v>
                </c:pt>
                <c:pt idx="6">
                  <c:v>20352</c:v>
                </c:pt>
                <c:pt idx="7">
                  <c:v>20403</c:v>
                </c:pt>
                <c:pt idx="8">
                  <c:v>20473</c:v>
                </c:pt>
                <c:pt idx="9">
                  <c:v>22502</c:v>
                </c:pt>
                <c:pt idx="10">
                  <c:v>23202</c:v>
                </c:pt>
                <c:pt idx="11">
                  <c:v>24050.5</c:v>
                </c:pt>
                <c:pt idx="12">
                  <c:v>24611</c:v>
                </c:pt>
                <c:pt idx="13">
                  <c:v>26759.5</c:v>
                </c:pt>
                <c:pt idx="14">
                  <c:v>26785.5</c:v>
                </c:pt>
                <c:pt idx="15">
                  <c:v>27417</c:v>
                </c:pt>
                <c:pt idx="16">
                  <c:v>29399</c:v>
                </c:pt>
                <c:pt idx="17">
                  <c:v>34400.5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1D-45EE-A0E6-C390617C0A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1E-3</c:v>
                  </c:pt>
                  <c:pt idx="10">
                    <c:v>1.1999999999999999E-3</c:v>
                  </c:pt>
                  <c:pt idx="12">
                    <c:v>2.0999999999999999E-3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1E-3</c:v>
                  </c:pt>
                  <c:pt idx="10">
                    <c:v>1.1999999999999999E-3</c:v>
                  </c:pt>
                  <c:pt idx="12">
                    <c:v>2.0999999999999999E-3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17024</c:v>
                </c:pt>
                <c:pt idx="2">
                  <c:v>17704</c:v>
                </c:pt>
                <c:pt idx="3">
                  <c:v>19700.5</c:v>
                </c:pt>
                <c:pt idx="4">
                  <c:v>19800.5</c:v>
                </c:pt>
                <c:pt idx="5">
                  <c:v>19922</c:v>
                </c:pt>
                <c:pt idx="6">
                  <c:v>20352</c:v>
                </c:pt>
                <c:pt idx="7">
                  <c:v>20403</c:v>
                </c:pt>
                <c:pt idx="8">
                  <c:v>20473</c:v>
                </c:pt>
                <c:pt idx="9">
                  <c:v>22502</c:v>
                </c:pt>
                <c:pt idx="10">
                  <c:v>23202</c:v>
                </c:pt>
                <c:pt idx="11">
                  <c:v>24050.5</c:v>
                </c:pt>
                <c:pt idx="12">
                  <c:v>24611</c:v>
                </c:pt>
                <c:pt idx="13">
                  <c:v>26759.5</c:v>
                </c:pt>
                <c:pt idx="14">
                  <c:v>26785.5</c:v>
                </c:pt>
                <c:pt idx="15">
                  <c:v>27417</c:v>
                </c:pt>
                <c:pt idx="16">
                  <c:v>29399</c:v>
                </c:pt>
                <c:pt idx="17">
                  <c:v>34400.5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1D-45EE-A0E6-C390617C0A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1E-3</c:v>
                  </c:pt>
                  <c:pt idx="10">
                    <c:v>1.1999999999999999E-3</c:v>
                  </c:pt>
                  <c:pt idx="12">
                    <c:v>2.0999999999999999E-3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1E-3</c:v>
                  </c:pt>
                  <c:pt idx="10">
                    <c:v>1.1999999999999999E-3</c:v>
                  </c:pt>
                  <c:pt idx="12">
                    <c:v>2.0999999999999999E-3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17024</c:v>
                </c:pt>
                <c:pt idx="2">
                  <c:v>17704</c:v>
                </c:pt>
                <c:pt idx="3">
                  <c:v>19700.5</c:v>
                </c:pt>
                <c:pt idx="4">
                  <c:v>19800.5</c:v>
                </c:pt>
                <c:pt idx="5">
                  <c:v>19922</c:v>
                </c:pt>
                <c:pt idx="6">
                  <c:v>20352</c:v>
                </c:pt>
                <c:pt idx="7">
                  <c:v>20403</c:v>
                </c:pt>
                <c:pt idx="8">
                  <c:v>20473</c:v>
                </c:pt>
                <c:pt idx="9">
                  <c:v>22502</c:v>
                </c:pt>
                <c:pt idx="10">
                  <c:v>23202</c:v>
                </c:pt>
                <c:pt idx="11">
                  <c:v>24050.5</c:v>
                </c:pt>
                <c:pt idx="12">
                  <c:v>24611</c:v>
                </c:pt>
                <c:pt idx="13">
                  <c:v>26759.5</c:v>
                </c:pt>
                <c:pt idx="14">
                  <c:v>26785.5</c:v>
                </c:pt>
                <c:pt idx="15">
                  <c:v>27417</c:v>
                </c:pt>
                <c:pt idx="16">
                  <c:v>29399</c:v>
                </c:pt>
                <c:pt idx="17">
                  <c:v>34400.5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1D-45EE-A0E6-C390617C0A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17024</c:v>
                </c:pt>
                <c:pt idx="2">
                  <c:v>17704</c:v>
                </c:pt>
                <c:pt idx="3">
                  <c:v>19700.5</c:v>
                </c:pt>
                <c:pt idx="4">
                  <c:v>19800.5</c:v>
                </c:pt>
                <c:pt idx="5">
                  <c:v>19922</c:v>
                </c:pt>
                <c:pt idx="6">
                  <c:v>20352</c:v>
                </c:pt>
                <c:pt idx="7">
                  <c:v>20403</c:v>
                </c:pt>
                <c:pt idx="8">
                  <c:v>20473</c:v>
                </c:pt>
                <c:pt idx="9">
                  <c:v>22502</c:v>
                </c:pt>
                <c:pt idx="10">
                  <c:v>23202</c:v>
                </c:pt>
                <c:pt idx="11">
                  <c:v>24050.5</c:v>
                </c:pt>
                <c:pt idx="12">
                  <c:v>24611</c:v>
                </c:pt>
                <c:pt idx="13">
                  <c:v>26759.5</c:v>
                </c:pt>
                <c:pt idx="14">
                  <c:v>26785.5</c:v>
                </c:pt>
                <c:pt idx="15">
                  <c:v>27417</c:v>
                </c:pt>
                <c:pt idx="16">
                  <c:v>29399</c:v>
                </c:pt>
                <c:pt idx="17">
                  <c:v>34400.5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0.28641911027026379</c:v>
                </c:pt>
                <c:pt idx="1">
                  <c:v>8.4362239848056825E-2</c:v>
                </c:pt>
                <c:pt idx="2">
                  <c:v>7.6291359215590854E-2</c:v>
                </c:pt>
                <c:pt idx="3">
                  <c:v>5.2595016299828629E-2</c:v>
                </c:pt>
                <c:pt idx="4">
                  <c:v>5.1408122089171865E-2</c:v>
                </c:pt>
                <c:pt idx="5">
                  <c:v>4.9966045623223904E-2</c:v>
                </c:pt>
                <c:pt idx="6">
                  <c:v>4.4862400517399842E-2</c:v>
                </c:pt>
                <c:pt idx="7">
                  <c:v>4.4257084469964875E-2</c:v>
                </c:pt>
                <c:pt idx="8">
                  <c:v>4.3426258522505146E-2</c:v>
                </c:pt>
                <c:pt idx="9">
                  <c:v>1.934417498827945E-2</c:v>
                </c:pt>
                <c:pt idx="10">
                  <c:v>1.103591551368216E-2</c:v>
                </c:pt>
                <c:pt idx="11">
                  <c:v>9.6511813625954623E-4</c:v>
                </c:pt>
                <c:pt idx="12">
                  <c:v>-5.6874239144716343E-3</c:v>
                </c:pt>
                <c:pt idx="13">
                  <c:v>-3.118784603043212E-2</c:v>
                </c:pt>
                <c:pt idx="14">
                  <c:v>-3.1496438525202897E-2</c:v>
                </c:pt>
                <c:pt idx="15">
                  <c:v>-3.8991675465500308E-2</c:v>
                </c:pt>
                <c:pt idx="16">
                  <c:v>-6.2515918720717323E-2</c:v>
                </c:pt>
                <c:pt idx="17">
                  <c:v>-0.12187843266671522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1D-45EE-A0E6-C390617C0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561168"/>
        <c:axId val="1"/>
      </c:scatterChart>
      <c:valAx>
        <c:axId val="659561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561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13</xdr:col>
      <xdr:colOff>76200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4493092-2750-6C79-BB2C-18EE09519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bav-astro.de/sfs/BAVM_link.php?BAVMnr=158" TargetMode="External"/><Relationship Id="rId7" Type="http://schemas.openxmlformats.org/officeDocument/2006/relationships/hyperlink" Target="http://www.bav-astro.de/sfs/BAVM_link.php?BAVMnr=201" TargetMode="External"/><Relationship Id="rId2" Type="http://schemas.openxmlformats.org/officeDocument/2006/relationships/hyperlink" Target="http://www.bav-astro.de/sfs/BAVM_link.php?BAVMnr=158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konkoly.hu/cgi-bin/IBVS?5837" TargetMode="External"/><Relationship Id="rId11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5677" TargetMode="External"/><Relationship Id="rId9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5" t="s">
        <v>152</v>
      </c>
    </row>
    <row r="2" spans="1:7" x14ac:dyDescent="0.2">
      <c r="A2" t="s">
        <v>25</v>
      </c>
      <c r="B2" s="9" t="s">
        <v>37</v>
      </c>
    </row>
    <row r="4" spans="1:7" x14ac:dyDescent="0.2">
      <c r="A4" s="5" t="s">
        <v>0</v>
      </c>
      <c r="C4" s="1">
        <v>41598.213000000003</v>
      </c>
      <c r="D4" s="2">
        <v>0.52802400000000005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41598.213000000003</v>
      </c>
    </row>
    <row r="8" spans="1:7" x14ac:dyDescent="0.2">
      <c r="A8" t="s">
        <v>3</v>
      </c>
      <c r="C8">
        <f>+D4</f>
        <v>0.52802400000000005</v>
      </c>
    </row>
    <row r="9" spans="1:7" x14ac:dyDescent="0.2">
      <c r="A9" s="12" t="s">
        <v>44</v>
      </c>
      <c r="B9" s="10"/>
      <c r="C9" s="13">
        <v>-9.5</v>
      </c>
      <c r="D9" s="10" t="s">
        <v>45</v>
      </c>
      <c r="E9" s="10"/>
    </row>
    <row r="10" spans="1:7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7" x14ac:dyDescent="0.2">
      <c r="A11" s="10" t="s">
        <v>16</v>
      </c>
      <c r="B11" s="10"/>
      <c r="C11" s="14">
        <f ca="1">INTERCEPT(INDIRECT($G$11):G989,INDIRECT($F$11):F989)</f>
        <v>0.28641911027026379</v>
      </c>
      <c r="D11" s="3"/>
      <c r="E11" s="10"/>
      <c r="F11" s="15" t="str">
        <f>"F"&amp;E19</f>
        <v>F22</v>
      </c>
      <c r="G11" s="16" t="str">
        <f>"G"&amp;E19</f>
        <v>G22</v>
      </c>
    </row>
    <row r="12" spans="1:7" x14ac:dyDescent="0.2">
      <c r="A12" s="10" t="s">
        <v>17</v>
      </c>
      <c r="B12" s="10"/>
      <c r="C12" s="14">
        <f ca="1">SLOPE(INDIRECT($G$11):G989,INDIRECT($F$11):F989)</f>
        <v>-1.1868942106567608E-5</v>
      </c>
      <c r="D12" s="3"/>
      <c r="E12" s="10"/>
    </row>
    <row r="13" spans="1:7" x14ac:dyDescent="0.2">
      <c r="A13" s="10" t="s">
        <v>20</v>
      </c>
      <c r="B13" s="10"/>
      <c r="C13" s="3" t="s">
        <v>14</v>
      </c>
      <c r="D13" s="19" t="s">
        <v>52</v>
      </c>
      <c r="E13" s="13">
        <v>1</v>
      </c>
    </row>
    <row r="14" spans="1:7" x14ac:dyDescent="0.2">
      <c r="A14" s="10"/>
      <c r="B14" s="10"/>
      <c r="C14" s="10"/>
      <c r="D14" s="19" t="s">
        <v>46</v>
      </c>
      <c r="E14" s="20">
        <f ca="1">NOW()+15018.5+$C$9/24</f>
        <v>60171.596501967593</v>
      </c>
    </row>
    <row r="15" spans="1:7" x14ac:dyDescent="0.2">
      <c r="A15" s="17" t="s">
        <v>18</v>
      </c>
      <c r="B15" s="10"/>
      <c r="C15" s="18">
        <f ca="1">(C7+C11)+(C8+C12)*INT(MAX(F21:F3530))</f>
        <v>59762.116727501809</v>
      </c>
      <c r="D15" s="19" t="s">
        <v>53</v>
      </c>
      <c r="E15" s="20">
        <f ca="1">ROUND(2*(E14-$C$7)/$C$8,0)/2+E13</f>
        <v>35176.5</v>
      </c>
    </row>
    <row r="16" spans="1:7" x14ac:dyDescent="0.2">
      <c r="A16" s="21" t="s">
        <v>4</v>
      </c>
      <c r="B16" s="10"/>
      <c r="C16" s="22">
        <f ca="1">+C8+C12</f>
        <v>0.52801213105789346</v>
      </c>
      <c r="D16" s="19" t="s">
        <v>47</v>
      </c>
      <c r="E16" s="16">
        <f ca="1">ROUND(2*(E14-$C$15)/$C$16,0)/2+E13</f>
        <v>776.5</v>
      </c>
    </row>
    <row r="17" spans="1:31" ht="13.5" thickBot="1" x14ac:dyDescent="0.25">
      <c r="A17" s="19" t="s">
        <v>40</v>
      </c>
      <c r="B17" s="10"/>
      <c r="C17" s="10">
        <f>COUNT(C21:C2188)</f>
        <v>18</v>
      </c>
      <c r="D17" s="19" t="s">
        <v>48</v>
      </c>
      <c r="E17" s="23">
        <f ca="1">+$C$15+$C$16*E16-15018.5-$C$9/24</f>
        <v>45154.013980601601</v>
      </c>
    </row>
    <row r="18" spans="1:31" x14ac:dyDescent="0.2">
      <c r="A18" s="21" t="s">
        <v>5</v>
      </c>
      <c r="B18" s="10"/>
      <c r="C18" s="24">
        <f ca="1">+C15</f>
        <v>59762.116727501809</v>
      </c>
      <c r="D18" s="25">
        <f ca="1">+C16</f>
        <v>0.52801213105789346</v>
      </c>
      <c r="E18" s="26" t="s">
        <v>49</v>
      </c>
    </row>
    <row r="19" spans="1:31" ht="13.5" thickTop="1" x14ac:dyDescent="0.2">
      <c r="A19" s="27" t="s">
        <v>50</v>
      </c>
      <c r="E19" s="28">
        <v>22</v>
      </c>
    </row>
    <row r="20" spans="1:3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33</v>
      </c>
      <c r="J20" s="7" t="s">
        <v>35</v>
      </c>
      <c r="K20" s="7" t="s">
        <v>19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15</v>
      </c>
    </row>
    <row r="21" spans="1:31" s="32" customFormat="1" ht="12.75" customHeight="1" x14ac:dyDescent="0.2">
      <c r="A21" s="32" t="s">
        <v>12</v>
      </c>
      <c r="C21" s="33">
        <v>41598.213000000003</v>
      </c>
      <c r="D21" s="33" t="s">
        <v>14</v>
      </c>
      <c r="E21" s="32">
        <f t="shared" ref="E21:E37" si="0">+(C21-C$7)/C$8</f>
        <v>0</v>
      </c>
      <c r="F21" s="32">
        <f t="shared" ref="F21:F37" si="1">ROUND(2*E21,0)/2</f>
        <v>0</v>
      </c>
      <c r="H21" s="34">
        <v>0</v>
      </c>
      <c r="O21" s="32">
        <f t="shared" ref="O21:O37" ca="1" si="2">+C$11+C$12*F21</f>
        <v>0.28641911027026379</v>
      </c>
      <c r="Q21" s="35">
        <f t="shared" ref="Q21:Q37" si="3">+C21-15018.5</f>
        <v>26579.713000000003</v>
      </c>
    </row>
    <row r="22" spans="1:31" s="32" customFormat="1" ht="12.75" customHeight="1" x14ac:dyDescent="0.2">
      <c r="A22" s="32" t="s">
        <v>30</v>
      </c>
      <c r="C22" s="33">
        <v>50587.402000000002</v>
      </c>
      <c r="D22" s="33">
        <v>1E-3</v>
      </c>
      <c r="E22" s="32">
        <f t="shared" si="0"/>
        <v>17024.205339151245</v>
      </c>
      <c r="F22" s="32">
        <f t="shared" si="1"/>
        <v>17024</v>
      </c>
      <c r="G22" s="32">
        <f t="shared" ref="G22:G37" si="4">+C22-(C$7+F22*C$8)</f>
        <v>0.10842399999819463</v>
      </c>
      <c r="I22" s="32">
        <f>+G22</f>
        <v>0.10842399999819463</v>
      </c>
      <c r="O22" s="32">
        <f t="shared" ca="1" si="2"/>
        <v>8.4362239848056825E-2</v>
      </c>
      <c r="Q22" s="35">
        <f t="shared" si="3"/>
        <v>35568.902000000002</v>
      </c>
      <c r="AA22" s="32">
        <v>13</v>
      </c>
      <c r="AC22" s="32" t="s">
        <v>29</v>
      </c>
      <c r="AE22" s="32" t="s">
        <v>31</v>
      </c>
    </row>
    <row r="23" spans="1:31" s="32" customFormat="1" ht="12.75" customHeight="1" x14ac:dyDescent="0.2">
      <c r="A23" s="32" t="s">
        <v>32</v>
      </c>
      <c r="C23" s="33">
        <v>50946.445</v>
      </c>
      <c r="D23" s="33">
        <v>3.0000000000000001E-3</v>
      </c>
      <c r="E23" s="32">
        <f t="shared" si="0"/>
        <v>17704.180113025155</v>
      </c>
      <c r="F23" s="32">
        <f t="shared" si="1"/>
        <v>17704</v>
      </c>
      <c r="G23" s="32">
        <f t="shared" si="4"/>
        <v>9.5103999999992084E-2</v>
      </c>
      <c r="I23" s="32">
        <f>+G23</f>
        <v>9.5103999999992084E-2</v>
      </c>
      <c r="O23" s="32">
        <f t="shared" ca="1" si="2"/>
        <v>7.6291359215590854E-2</v>
      </c>
      <c r="Q23" s="35">
        <f t="shared" si="3"/>
        <v>35927.945</v>
      </c>
      <c r="AA23" s="32">
        <v>13</v>
      </c>
      <c r="AC23" s="32" t="s">
        <v>29</v>
      </c>
      <c r="AE23" s="32" t="s">
        <v>31</v>
      </c>
    </row>
    <row r="24" spans="1:31" s="32" customFormat="1" ht="12.75" customHeight="1" x14ac:dyDescent="0.2">
      <c r="A24" s="59" t="s">
        <v>82</v>
      </c>
      <c r="B24" s="58" t="s">
        <v>43</v>
      </c>
      <c r="C24" s="59">
        <v>52000.608999999997</v>
      </c>
      <c r="D24" s="59" t="s">
        <v>67</v>
      </c>
      <c r="E24" s="32">
        <f t="shared" si="0"/>
        <v>19700.612093389682</v>
      </c>
      <c r="F24" s="32">
        <f t="shared" si="1"/>
        <v>19700.5</v>
      </c>
      <c r="G24" s="32">
        <f t="shared" si="4"/>
        <v>5.9187999991991092E-2</v>
      </c>
      <c r="K24" s="32">
        <f>+G24</f>
        <v>5.9187999991991092E-2</v>
      </c>
      <c r="O24" s="32">
        <f t="shared" ca="1" si="2"/>
        <v>5.2595016299828629E-2</v>
      </c>
      <c r="Q24" s="35">
        <f t="shared" si="3"/>
        <v>36982.108999999997</v>
      </c>
    </row>
    <row r="25" spans="1:31" s="32" customFormat="1" ht="12.75" customHeight="1" x14ac:dyDescent="0.2">
      <c r="A25" s="59" t="s">
        <v>82</v>
      </c>
      <c r="B25" s="58" t="s">
        <v>43</v>
      </c>
      <c r="C25" s="59">
        <v>52053.419600000001</v>
      </c>
      <c r="D25" s="59" t="s">
        <v>67</v>
      </c>
      <c r="E25" s="32">
        <f t="shared" si="0"/>
        <v>19800.627622986827</v>
      </c>
      <c r="F25" s="32">
        <f t="shared" si="1"/>
        <v>19800.5</v>
      </c>
      <c r="G25" s="32">
        <f t="shared" si="4"/>
        <v>6.7387999995844439E-2</v>
      </c>
      <c r="K25" s="32">
        <f>+G25</f>
        <v>6.7387999995844439E-2</v>
      </c>
      <c r="O25" s="32">
        <f t="shared" ca="1" si="2"/>
        <v>5.1408122089171865E-2</v>
      </c>
      <c r="Q25" s="35">
        <f t="shared" si="3"/>
        <v>37034.919600000001</v>
      </c>
    </row>
    <row r="26" spans="1:31" s="32" customFormat="1" ht="12.75" customHeight="1" x14ac:dyDescent="0.2">
      <c r="A26" s="8" t="s">
        <v>36</v>
      </c>
      <c r="B26" s="36"/>
      <c r="C26" s="37">
        <v>52117.506600000001</v>
      </c>
      <c r="D26" s="37">
        <v>2.0000000000000001E-4</v>
      </c>
      <c r="E26" s="32">
        <f t="shared" si="0"/>
        <v>19921.999000045445</v>
      </c>
      <c r="F26" s="32">
        <f t="shared" si="1"/>
        <v>19922</v>
      </c>
      <c r="G26" s="32">
        <f t="shared" si="4"/>
        <v>-5.2800000412389636E-4</v>
      </c>
      <c r="J26" s="32">
        <f>+G26</f>
        <v>-5.2800000412389636E-4</v>
      </c>
      <c r="O26" s="32">
        <f t="shared" ca="1" si="2"/>
        <v>4.9966045623223904E-2</v>
      </c>
      <c r="Q26" s="35">
        <f t="shared" si="3"/>
        <v>37099.006600000001</v>
      </c>
    </row>
    <row r="27" spans="1:31" s="32" customFormat="1" ht="12.75" customHeight="1" x14ac:dyDescent="0.2">
      <c r="A27" s="59" t="s">
        <v>95</v>
      </c>
      <c r="B27" s="58" t="s">
        <v>39</v>
      </c>
      <c r="C27" s="59">
        <v>52344.622199999998</v>
      </c>
      <c r="D27" s="59" t="s">
        <v>67</v>
      </c>
      <c r="E27" s="32">
        <f t="shared" si="0"/>
        <v>20352.122630789498</v>
      </c>
      <c r="F27" s="32">
        <f t="shared" si="1"/>
        <v>20352</v>
      </c>
      <c r="G27" s="32">
        <f t="shared" si="4"/>
        <v>6.4751999991131015E-2</v>
      </c>
      <c r="K27" s="32">
        <f>+G27</f>
        <v>6.4751999991131015E-2</v>
      </c>
      <c r="O27" s="32">
        <f t="shared" ca="1" si="2"/>
        <v>4.4862400517399842E-2</v>
      </c>
      <c r="Q27" s="35">
        <f t="shared" si="3"/>
        <v>37326.122199999998</v>
      </c>
    </row>
    <row r="28" spans="1:31" s="32" customFormat="1" ht="12.75" customHeight="1" x14ac:dyDescent="0.2">
      <c r="A28" s="32" t="s">
        <v>34</v>
      </c>
      <c r="B28" s="33"/>
      <c r="C28" s="33">
        <v>52371.555099999998</v>
      </c>
      <c r="D28" s="33">
        <v>5.0000000000000001E-4</v>
      </c>
      <c r="E28" s="32">
        <f t="shared" si="0"/>
        <v>20403.129592594265</v>
      </c>
      <c r="F28" s="32">
        <f t="shared" si="1"/>
        <v>20403</v>
      </c>
      <c r="G28" s="32">
        <f t="shared" si="4"/>
        <v>6.8427999991399702E-2</v>
      </c>
      <c r="J28" s="32">
        <f t="shared" ref="J28:J37" si="5">+G28</f>
        <v>6.8427999991399702E-2</v>
      </c>
      <c r="O28" s="32">
        <f t="shared" ca="1" si="2"/>
        <v>4.4257084469964875E-2</v>
      </c>
      <c r="Q28" s="35">
        <f t="shared" si="3"/>
        <v>37353.055099999998</v>
      </c>
    </row>
    <row r="29" spans="1:31" s="32" customFormat="1" ht="12.75" customHeight="1" x14ac:dyDescent="0.2">
      <c r="A29" s="32" t="s">
        <v>34</v>
      </c>
      <c r="B29" s="38"/>
      <c r="C29" s="33">
        <v>52408.498899999999</v>
      </c>
      <c r="D29" s="33">
        <v>2.8999999999999998E-3</v>
      </c>
      <c r="E29" s="32">
        <f t="shared" si="0"/>
        <v>20473.095730497087</v>
      </c>
      <c r="F29" s="32">
        <f t="shared" si="1"/>
        <v>20473</v>
      </c>
      <c r="G29" s="32">
        <f t="shared" si="4"/>
        <v>5.0547999991977122E-2</v>
      </c>
      <c r="J29" s="32">
        <f t="shared" si="5"/>
        <v>5.0547999991977122E-2</v>
      </c>
      <c r="O29" s="32">
        <f t="shared" ca="1" si="2"/>
        <v>4.3426258522505146E-2</v>
      </c>
      <c r="Q29" s="35">
        <f t="shared" si="3"/>
        <v>37389.998899999999</v>
      </c>
    </row>
    <row r="30" spans="1:31" s="32" customFormat="1" ht="12.75" customHeight="1" x14ac:dyDescent="0.2">
      <c r="A30" s="39" t="s">
        <v>38</v>
      </c>
      <c r="B30" s="36" t="s">
        <v>39</v>
      </c>
      <c r="C30" s="40">
        <v>53479.779000000002</v>
      </c>
      <c r="D30" s="40">
        <v>1E-3</v>
      </c>
      <c r="E30" s="32">
        <f t="shared" si="0"/>
        <v>22501.943093495745</v>
      </c>
      <c r="F30" s="32">
        <f t="shared" si="1"/>
        <v>22502</v>
      </c>
      <c r="G30" s="32">
        <f t="shared" si="4"/>
        <v>-3.0048000000533648E-2</v>
      </c>
      <c r="J30" s="32">
        <f t="shared" si="5"/>
        <v>-3.0048000000533648E-2</v>
      </c>
      <c r="O30" s="32">
        <f t="shared" ca="1" si="2"/>
        <v>1.934417498827945E-2</v>
      </c>
      <c r="Q30" s="35">
        <f t="shared" si="3"/>
        <v>38461.279000000002</v>
      </c>
    </row>
    <row r="31" spans="1:31" s="32" customFormat="1" ht="12.75" customHeight="1" x14ac:dyDescent="0.2">
      <c r="A31" s="31" t="s">
        <v>41</v>
      </c>
      <c r="B31" s="41"/>
      <c r="C31" s="8">
        <v>53849.4712</v>
      </c>
      <c r="D31" s="8">
        <v>1.1999999999999999E-3</v>
      </c>
      <c r="E31" s="32">
        <f t="shared" si="0"/>
        <v>23202.085890035294</v>
      </c>
      <c r="F31" s="32">
        <f t="shared" si="1"/>
        <v>23202</v>
      </c>
      <c r="G31" s="32">
        <f t="shared" si="4"/>
        <v>4.5351999993727077E-2</v>
      </c>
      <c r="J31" s="32">
        <f t="shared" si="5"/>
        <v>4.5351999993727077E-2</v>
      </c>
      <c r="O31" s="32">
        <f t="shared" ca="1" si="2"/>
        <v>1.103591551368216E-2</v>
      </c>
      <c r="Q31" s="35">
        <f t="shared" si="3"/>
        <v>38830.9712</v>
      </c>
    </row>
    <row r="32" spans="1:31" s="32" customFormat="1" ht="12.75" customHeight="1" x14ac:dyDescent="0.2">
      <c r="A32" s="31" t="s">
        <v>42</v>
      </c>
      <c r="B32" s="30" t="s">
        <v>43</v>
      </c>
      <c r="C32" s="8">
        <v>54297.439299999998</v>
      </c>
      <c r="D32" s="8"/>
      <c r="E32" s="32">
        <f t="shared" si="0"/>
        <v>24050.471758859432</v>
      </c>
      <c r="F32" s="32">
        <f t="shared" si="1"/>
        <v>24050.5</v>
      </c>
      <c r="G32" s="32">
        <f t="shared" si="4"/>
        <v>-1.4912000006006565E-2</v>
      </c>
      <c r="J32" s="32">
        <f t="shared" si="5"/>
        <v>-1.4912000006006565E-2</v>
      </c>
      <c r="O32" s="32">
        <f t="shared" ca="1" si="2"/>
        <v>9.6511813625954623E-4</v>
      </c>
      <c r="Q32" s="35">
        <f t="shared" si="3"/>
        <v>39278.939299999998</v>
      </c>
    </row>
    <row r="33" spans="1:17" s="32" customFormat="1" ht="12.75" customHeight="1" x14ac:dyDescent="0.2">
      <c r="A33" s="8" t="s">
        <v>51</v>
      </c>
      <c r="B33" s="30" t="s">
        <v>39</v>
      </c>
      <c r="C33" s="8">
        <v>54593.443399999996</v>
      </c>
      <c r="D33" s="8">
        <v>2.0999999999999999E-3</v>
      </c>
      <c r="E33" s="32">
        <f t="shared" si="0"/>
        <v>24611.060103328622</v>
      </c>
      <c r="F33" s="32">
        <f t="shared" si="1"/>
        <v>24611</v>
      </c>
      <c r="G33" s="32">
        <f t="shared" si="4"/>
        <v>3.1735999989905395E-2</v>
      </c>
      <c r="J33" s="32">
        <f t="shared" si="5"/>
        <v>3.1735999989905395E-2</v>
      </c>
      <c r="O33" s="32">
        <f t="shared" ca="1" si="2"/>
        <v>-5.6874239144716343E-3</v>
      </c>
      <c r="Q33" s="35">
        <f t="shared" si="3"/>
        <v>39574.943399999996</v>
      </c>
    </row>
    <row r="34" spans="1:17" s="32" customFormat="1" ht="12.75" customHeight="1" x14ac:dyDescent="0.2">
      <c r="A34" s="42" t="s">
        <v>54</v>
      </c>
      <c r="B34" s="43" t="s">
        <v>43</v>
      </c>
      <c r="C34" s="42">
        <v>55727.772799999999</v>
      </c>
      <c r="D34" s="42">
        <v>5.0000000000000001E-4</v>
      </c>
      <c r="E34" s="32">
        <f t="shared" si="0"/>
        <v>26759.313591806422</v>
      </c>
      <c r="F34" s="32">
        <f t="shared" si="1"/>
        <v>26759.5</v>
      </c>
      <c r="G34" s="32">
        <f t="shared" si="4"/>
        <v>-9.8428000004787464E-2</v>
      </c>
      <c r="J34" s="32">
        <f t="shared" si="5"/>
        <v>-9.8428000004787464E-2</v>
      </c>
      <c r="O34" s="32">
        <f t="shared" ca="1" si="2"/>
        <v>-3.118784603043212E-2</v>
      </c>
      <c r="Q34" s="35">
        <f t="shared" si="3"/>
        <v>40709.272799999999</v>
      </c>
    </row>
    <row r="35" spans="1:17" s="32" customFormat="1" ht="12.75" customHeight="1" x14ac:dyDescent="0.2">
      <c r="A35" s="42" t="s">
        <v>55</v>
      </c>
      <c r="B35" s="43" t="s">
        <v>43</v>
      </c>
      <c r="C35" s="42">
        <v>55741.550499999998</v>
      </c>
      <c r="D35" s="42">
        <v>4.0000000000000002E-4</v>
      </c>
      <c r="E35" s="32">
        <f t="shared" si="0"/>
        <v>26785.406534551446</v>
      </c>
      <c r="F35" s="32">
        <f t="shared" si="1"/>
        <v>26785.5</v>
      </c>
      <c r="G35" s="32">
        <f t="shared" si="4"/>
        <v>-4.9352000009093899E-2</v>
      </c>
      <c r="J35" s="32">
        <f t="shared" si="5"/>
        <v>-4.9352000009093899E-2</v>
      </c>
      <c r="O35" s="32">
        <f t="shared" ca="1" si="2"/>
        <v>-3.1496438525202897E-2</v>
      </c>
      <c r="Q35" s="35">
        <f t="shared" si="3"/>
        <v>40723.050499999998</v>
      </c>
    </row>
    <row r="36" spans="1:17" s="32" customFormat="1" ht="12.75" customHeight="1" x14ac:dyDescent="0.2">
      <c r="A36" s="29" t="s">
        <v>56</v>
      </c>
      <c r="B36" s="11" t="s">
        <v>39</v>
      </c>
      <c r="C36" s="29">
        <v>56074.918599999997</v>
      </c>
      <c r="D36" s="29">
        <v>6.9999999999999999E-4</v>
      </c>
      <c r="E36" s="32">
        <f t="shared" si="0"/>
        <v>27416.756814084194</v>
      </c>
      <c r="F36" s="32">
        <f t="shared" si="1"/>
        <v>27417</v>
      </c>
      <c r="G36" s="32">
        <f t="shared" si="4"/>
        <v>-0.12840800001140451</v>
      </c>
      <c r="J36" s="32">
        <f t="shared" si="5"/>
        <v>-0.12840800001140451</v>
      </c>
      <c r="O36" s="32">
        <f t="shared" ca="1" si="2"/>
        <v>-3.8991675465500308E-2</v>
      </c>
      <c r="Q36" s="35">
        <f t="shared" si="3"/>
        <v>41056.418599999997</v>
      </c>
    </row>
    <row r="37" spans="1:17" s="32" customFormat="1" ht="12.75" customHeight="1" x14ac:dyDescent="0.2">
      <c r="A37" s="60" t="s">
        <v>150</v>
      </c>
      <c r="B37" s="61"/>
      <c r="C37" s="60">
        <v>57121.573499999999</v>
      </c>
      <c r="D37" s="60">
        <v>1E-4</v>
      </c>
      <c r="E37" s="32">
        <f t="shared" si="0"/>
        <v>29398.967660560873</v>
      </c>
      <c r="F37" s="32">
        <f t="shared" si="1"/>
        <v>29399</v>
      </c>
      <c r="G37" s="32">
        <f t="shared" si="4"/>
        <v>-1.7076000003726222E-2</v>
      </c>
      <c r="J37" s="32">
        <f t="shared" si="5"/>
        <v>-1.7076000003726222E-2</v>
      </c>
      <c r="O37" s="32">
        <f t="shared" ca="1" si="2"/>
        <v>-6.2515918720717323E-2</v>
      </c>
      <c r="Q37" s="35">
        <f t="shared" si="3"/>
        <v>42103.073499999999</v>
      </c>
    </row>
    <row r="38" spans="1:17" s="32" customFormat="1" ht="12.75" customHeight="1" x14ac:dyDescent="0.2">
      <c r="A38" s="62" t="s">
        <v>151</v>
      </c>
      <c r="B38" s="63" t="s">
        <v>43</v>
      </c>
      <c r="C38" s="64">
        <v>59762.4372</v>
      </c>
      <c r="D38" s="62">
        <v>2.0000000000000001E-4</v>
      </c>
      <c r="E38" s="32">
        <f t="shared" ref="E38" si="6">+(C38-C$7)/C$8</f>
        <v>34400.376119267297</v>
      </c>
      <c r="F38" s="32">
        <f t="shared" ref="F38" si="7">ROUND(2*E38,0)/2</f>
        <v>34400.5</v>
      </c>
      <c r="G38" s="32">
        <f t="shared" ref="G38" si="8">+C38-(C$7+F38*C$8)</f>
        <v>-6.5412000003561843E-2</v>
      </c>
      <c r="J38" s="32">
        <f t="shared" ref="J38" si="9">+G38</f>
        <v>-6.5412000003561843E-2</v>
      </c>
      <c r="O38" s="32">
        <f t="shared" ref="O38" ca="1" si="10">+C$11+C$12*F38</f>
        <v>-0.12187843266671522</v>
      </c>
      <c r="Q38" s="35">
        <f t="shared" ref="Q38" si="11">+C38-15018.5</f>
        <v>44743.9372</v>
      </c>
    </row>
    <row r="39" spans="1:17" x14ac:dyDescent="0.2">
      <c r="B39" s="3"/>
      <c r="D39" s="3"/>
    </row>
    <row r="40" spans="1:17" x14ac:dyDescent="0.2">
      <c r="B40" s="3"/>
      <c r="D40" s="3"/>
    </row>
    <row r="41" spans="1:17" x14ac:dyDescent="0.2">
      <c r="D41" s="3"/>
    </row>
    <row r="42" spans="1:17" x14ac:dyDescent="0.2">
      <c r="D42" s="3"/>
    </row>
    <row r="43" spans="1:17" x14ac:dyDescent="0.2">
      <c r="D43" s="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3"/>
  <sheetViews>
    <sheetView topLeftCell="A4" workbookViewId="0">
      <selection activeCell="A23" sqref="A23:D26"/>
    </sheetView>
  </sheetViews>
  <sheetFormatPr defaultRowHeight="12.75" x14ac:dyDescent="0.2"/>
  <cols>
    <col min="1" max="1" width="19.7109375" style="45" customWidth="1"/>
    <col min="2" max="2" width="4.42578125" style="10" customWidth="1"/>
    <col min="3" max="3" width="12.7109375" style="45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5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4" t="s">
        <v>57</v>
      </c>
      <c r="I1" s="46" t="s">
        <v>58</v>
      </c>
      <c r="J1" s="47" t="s">
        <v>59</v>
      </c>
    </row>
    <row r="2" spans="1:16" x14ac:dyDescent="0.2">
      <c r="I2" s="48" t="s">
        <v>60</v>
      </c>
      <c r="J2" s="49" t="s">
        <v>61</v>
      </c>
    </row>
    <row r="3" spans="1:16" x14ac:dyDescent="0.2">
      <c r="A3" s="50" t="s">
        <v>62</v>
      </c>
      <c r="I3" s="48" t="s">
        <v>63</v>
      </c>
      <c r="J3" s="49" t="s">
        <v>64</v>
      </c>
    </row>
    <row r="4" spans="1:16" x14ac:dyDescent="0.2">
      <c r="I4" s="48" t="s">
        <v>65</v>
      </c>
      <c r="J4" s="49" t="s">
        <v>64</v>
      </c>
    </row>
    <row r="5" spans="1:16" ht="13.5" thickBot="1" x14ac:dyDescent="0.25">
      <c r="I5" s="51" t="s">
        <v>66</v>
      </c>
      <c r="J5" s="52" t="s">
        <v>67</v>
      </c>
    </row>
    <row r="10" spans="1:16" ht="13.5" thickBot="1" x14ac:dyDescent="0.25"/>
    <row r="11" spans="1:16" ht="12.75" customHeight="1" thickBot="1" x14ac:dyDescent="0.25">
      <c r="A11" s="45" t="str">
        <f t="shared" ref="A11:A26" si="0">P11</f>
        <v> BBS 115 </v>
      </c>
      <c r="B11" s="3" t="str">
        <f t="shared" ref="B11:B26" si="1">IF(H11=INT(H11),"I","II")</f>
        <v>I</v>
      </c>
      <c r="C11" s="45">
        <f t="shared" ref="C11:C26" si="2">1*G11</f>
        <v>50587.402199999997</v>
      </c>
      <c r="D11" s="10" t="str">
        <f t="shared" ref="D11:D26" si="3">VLOOKUP(F11,I$1:J$5,2,FALSE)</f>
        <v>vis</v>
      </c>
      <c r="E11" s="53" t="e">
        <f>VLOOKUP(C11,Active!C$21:E$973,3,FALSE)</f>
        <v>#N/A</v>
      </c>
      <c r="F11" s="3" t="s">
        <v>66</v>
      </c>
      <c r="G11" s="10" t="str">
        <f t="shared" ref="G11:G26" si="4">MID(I11,3,LEN(I11)-3)</f>
        <v>50587.4022</v>
      </c>
      <c r="H11" s="45">
        <f t="shared" ref="H11:H26" si="5">1*K11</f>
        <v>17024</v>
      </c>
      <c r="I11" s="54" t="s">
        <v>68</v>
      </c>
      <c r="J11" s="55" t="s">
        <v>69</v>
      </c>
      <c r="K11" s="54">
        <v>17024</v>
      </c>
      <c r="L11" s="54" t="s">
        <v>70</v>
      </c>
      <c r="M11" s="55" t="s">
        <v>71</v>
      </c>
      <c r="N11" s="55" t="s">
        <v>72</v>
      </c>
      <c r="O11" s="56" t="s">
        <v>73</v>
      </c>
      <c r="P11" s="56" t="s">
        <v>74</v>
      </c>
    </row>
    <row r="12" spans="1:16" ht="12.75" customHeight="1" thickBot="1" x14ac:dyDescent="0.25">
      <c r="A12" s="45" t="str">
        <f t="shared" si="0"/>
        <v> BBS 118 </v>
      </c>
      <c r="B12" s="3" t="str">
        <f t="shared" si="1"/>
        <v>I</v>
      </c>
      <c r="C12" s="45">
        <f t="shared" si="2"/>
        <v>50946.445</v>
      </c>
      <c r="D12" s="10" t="str">
        <f t="shared" si="3"/>
        <v>vis</v>
      </c>
      <c r="E12" s="53">
        <f>VLOOKUP(C12,Active!C$21:E$973,3,FALSE)</f>
        <v>17704.180113025155</v>
      </c>
      <c r="F12" s="3" t="s">
        <v>66</v>
      </c>
      <c r="G12" s="10" t="str">
        <f t="shared" si="4"/>
        <v>50946.445</v>
      </c>
      <c r="H12" s="45">
        <f t="shared" si="5"/>
        <v>17704</v>
      </c>
      <c r="I12" s="54" t="s">
        <v>75</v>
      </c>
      <c r="J12" s="55" t="s">
        <v>76</v>
      </c>
      <c r="K12" s="54">
        <v>17704</v>
      </c>
      <c r="L12" s="54" t="s">
        <v>77</v>
      </c>
      <c r="M12" s="55" t="s">
        <v>71</v>
      </c>
      <c r="N12" s="55" t="s">
        <v>72</v>
      </c>
      <c r="O12" s="56" t="s">
        <v>73</v>
      </c>
      <c r="P12" s="56" t="s">
        <v>78</v>
      </c>
    </row>
    <row r="13" spans="1:16" ht="12.75" customHeight="1" thickBot="1" x14ac:dyDescent="0.25">
      <c r="A13" s="45" t="str">
        <f t="shared" si="0"/>
        <v>BAVM 152 </v>
      </c>
      <c r="B13" s="3" t="str">
        <f t="shared" si="1"/>
        <v>I</v>
      </c>
      <c r="C13" s="45">
        <f t="shared" si="2"/>
        <v>52117.506600000001</v>
      </c>
      <c r="D13" s="10" t="str">
        <f t="shared" si="3"/>
        <v>vis</v>
      </c>
      <c r="E13" s="53">
        <f>VLOOKUP(C13,Active!C$21:E$973,3,FALSE)</f>
        <v>19921.999000045445</v>
      </c>
      <c r="F13" s="3" t="s">
        <v>66</v>
      </c>
      <c r="G13" s="10" t="str">
        <f t="shared" si="4"/>
        <v>52117.5066</v>
      </c>
      <c r="H13" s="45">
        <f t="shared" si="5"/>
        <v>19922</v>
      </c>
      <c r="I13" s="54" t="s">
        <v>86</v>
      </c>
      <c r="J13" s="55" t="s">
        <v>87</v>
      </c>
      <c r="K13" s="54">
        <v>19922</v>
      </c>
      <c r="L13" s="54" t="s">
        <v>88</v>
      </c>
      <c r="M13" s="55" t="s">
        <v>71</v>
      </c>
      <c r="N13" s="55" t="s">
        <v>89</v>
      </c>
      <c r="O13" s="56" t="s">
        <v>90</v>
      </c>
      <c r="P13" s="57" t="s">
        <v>91</v>
      </c>
    </row>
    <row r="14" spans="1:16" ht="12.75" customHeight="1" thickBot="1" x14ac:dyDescent="0.25">
      <c r="A14" s="45" t="str">
        <f t="shared" si="0"/>
        <v>BAVM 158 </v>
      </c>
      <c r="B14" s="3" t="str">
        <f t="shared" si="1"/>
        <v>I</v>
      </c>
      <c r="C14" s="45">
        <f t="shared" si="2"/>
        <v>52371.555099999998</v>
      </c>
      <c r="D14" s="10" t="str">
        <f t="shared" si="3"/>
        <v>vis</v>
      </c>
      <c r="E14" s="53">
        <f>VLOOKUP(C14,Active!C$21:E$973,3,FALSE)</f>
        <v>20403.129592594265</v>
      </c>
      <c r="F14" s="3" t="s">
        <v>66</v>
      </c>
      <c r="G14" s="10" t="str">
        <f t="shared" si="4"/>
        <v>52371.5551</v>
      </c>
      <c r="H14" s="45">
        <f t="shared" si="5"/>
        <v>20403</v>
      </c>
      <c r="I14" s="54" t="s">
        <v>96</v>
      </c>
      <c r="J14" s="55" t="s">
        <v>97</v>
      </c>
      <c r="K14" s="54">
        <v>20403</v>
      </c>
      <c r="L14" s="54" t="s">
        <v>98</v>
      </c>
      <c r="M14" s="55" t="s">
        <v>71</v>
      </c>
      <c r="N14" s="55" t="s">
        <v>99</v>
      </c>
      <c r="O14" s="56" t="s">
        <v>90</v>
      </c>
      <c r="P14" s="57" t="s">
        <v>100</v>
      </c>
    </row>
    <row r="15" spans="1:16" ht="12.75" customHeight="1" thickBot="1" x14ac:dyDescent="0.25">
      <c r="A15" s="45" t="str">
        <f t="shared" si="0"/>
        <v>BAVM 158 </v>
      </c>
      <c r="B15" s="3" t="str">
        <f t="shared" si="1"/>
        <v>I</v>
      </c>
      <c r="C15" s="45">
        <f t="shared" si="2"/>
        <v>52408.498899999999</v>
      </c>
      <c r="D15" s="10" t="str">
        <f t="shared" si="3"/>
        <v>vis</v>
      </c>
      <c r="E15" s="53">
        <f>VLOOKUP(C15,Active!C$21:E$973,3,FALSE)</f>
        <v>20473.095730497087</v>
      </c>
      <c r="F15" s="3" t="s">
        <v>66</v>
      </c>
      <c r="G15" s="10" t="str">
        <f t="shared" si="4"/>
        <v>52408.4989</v>
      </c>
      <c r="H15" s="45">
        <f t="shared" si="5"/>
        <v>20473</v>
      </c>
      <c r="I15" s="54" t="s">
        <v>101</v>
      </c>
      <c r="J15" s="55" t="s">
        <v>102</v>
      </c>
      <c r="K15" s="54">
        <v>20473</v>
      </c>
      <c r="L15" s="54" t="s">
        <v>103</v>
      </c>
      <c r="M15" s="55" t="s">
        <v>71</v>
      </c>
      <c r="N15" s="55" t="s">
        <v>104</v>
      </c>
      <c r="O15" s="56" t="s">
        <v>105</v>
      </c>
      <c r="P15" s="57" t="s">
        <v>100</v>
      </c>
    </row>
    <row r="16" spans="1:16" ht="12.75" customHeight="1" thickBot="1" x14ac:dyDescent="0.25">
      <c r="A16" s="45" t="str">
        <f t="shared" si="0"/>
        <v>IBVS 5677 </v>
      </c>
      <c r="B16" s="3" t="str">
        <f t="shared" si="1"/>
        <v>I</v>
      </c>
      <c r="C16" s="45">
        <f t="shared" si="2"/>
        <v>53479.779000000002</v>
      </c>
      <c r="D16" s="10" t="str">
        <f t="shared" si="3"/>
        <v>vis</v>
      </c>
      <c r="E16" s="53">
        <f>VLOOKUP(C16,Active!C$21:E$973,3,FALSE)</f>
        <v>22501.943093495745</v>
      </c>
      <c r="F16" s="3" t="s">
        <v>66</v>
      </c>
      <c r="G16" s="10" t="str">
        <f t="shared" si="4"/>
        <v>53479.779</v>
      </c>
      <c r="H16" s="45">
        <f t="shared" si="5"/>
        <v>22502</v>
      </c>
      <c r="I16" s="54" t="s">
        <v>106</v>
      </c>
      <c r="J16" s="55" t="s">
        <v>107</v>
      </c>
      <c r="K16" s="54" t="s">
        <v>108</v>
      </c>
      <c r="L16" s="54" t="s">
        <v>109</v>
      </c>
      <c r="M16" s="55" t="s">
        <v>71</v>
      </c>
      <c r="N16" s="55" t="s">
        <v>72</v>
      </c>
      <c r="O16" s="56" t="s">
        <v>110</v>
      </c>
      <c r="P16" s="57" t="s">
        <v>111</v>
      </c>
    </row>
    <row r="17" spans="1:16" ht="12.75" customHeight="1" thickBot="1" x14ac:dyDescent="0.25">
      <c r="A17" s="45" t="str">
        <f t="shared" si="0"/>
        <v>BAVM 178 </v>
      </c>
      <c r="B17" s="3" t="str">
        <f t="shared" si="1"/>
        <v>I</v>
      </c>
      <c r="C17" s="45">
        <f t="shared" si="2"/>
        <v>53849.4712</v>
      </c>
      <c r="D17" s="10" t="str">
        <f t="shared" si="3"/>
        <v>vis</v>
      </c>
      <c r="E17" s="53">
        <f>VLOOKUP(C17,Active!C$21:E$973,3,FALSE)</f>
        <v>23202.085890035294</v>
      </c>
      <c r="F17" s="3" t="s">
        <v>66</v>
      </c>
      <c r="G17" s="10" t="str">
        <f t="shared" si="4"/>
        <v>53849.4712</v>
      </c>
      <c r="H17" s="45">
        <f t="shared" si="5"/>
        <v>23202</v>
      </c>
      <c r="I17" s="54" t="s">
        <v>112</v>
      </c>
      <c r="J17" s="55" t="s">
        <v>113</v>
      </c>
      <c r="K17" s="54" t="s">
        <v>114</v>
      </c>
      <c r="L17" s="54" t="s">
        <v>115</v>
      </c>
      <c r="M17" s="55" t="s">
        <v>116</v>
      </c>
      <c r="N17" s="55" t="s">
        <v>104</v>
      </c>
      <c r="O17" s="56" t="s">
        <v>105</v>
      </c>
      <c r="P17" s="57" t="s">
        <v>117</v>
      </c>
    </row>
    <row r="18" spans="1:16" ht="12.75" customHeight="1" thickBot="1" x14ac:dyDescent="0.25">
      <c r="A18" s="45" t="str">
        <f t="shared" si="0"/>
        <v>IBVS 5837 </v>
      </c>
      <c r="B18" s="3" t="str">
        <f t="shared" si="1"/>
        <v>II</v>
      </c>
      <c r="C18" s="45">
        <f t="shared" si="2"/>
        <v>54297.439299999998</v>
      </c>
      <c r="D18" s="10" t="str">
        <f t="shared" si="3"/>
        <v>vis</v>
      </c>
      <c r="E18" s="53">
        <f>VLOOKUP(C18,Active!C$21:E$973,3,FALSE)</f>
        <v>24050.471758859432</v>
      </c>
      <c r="F18" s="3" t="s">
        <v>66</v>
      </c>
      <c r="G18" s="10" t="str">
        <f t="shared" si="4"/>
        <v>54297.4393</v>
      </c>
      <c r="H18" s="45">
        <f t="shared" si="5"/>
        <v>24050.5</v>
      </c>
      <c r="I18" s="54" t="s">
        <v>118</v>
      </c>
      <c r="J18" s="55" t="s">
        <v>119</v>
      </c>
      <c r="K18" s="54" t="s">
        <v>120</v>
      </c>
      <c r="L18" s="54" t="s">
        <v>121</v>
      </c>
      <c r="M18" s="55" t="s">
        <v>116</v>
      </c>
      <c r="N18" s="55" t="s">
        <v>66</v>
      </c>
      <c r="O18" s="56" t="s">
        <v>73</v>
      </c>
      <c r="P18" s="57" t="s">
        <v>122</v>
      </c>
    </row>
    <row r="19" spans="1:16" ht="12.75" customHeight="1" thickBot="1" x14ac:dyDescent="0.25">
      <c r="A19" s="45" t="str">
        <f t="shared" si="0"/>
        <v>BAVM 201 </v>
      </c>
      <c r="B19" s="3" t="str">
        <f t="shared" si="1"/>
        <v>I</v>
      </c>
      <c r="C19" s="45">
        <f t="shared" si="2"/>
        <v>54593.443399999996</v>
      </c>
      <c r="D19" s="10" t="str">
        <f t="shared" si="3"/>
        <v>vis</v>
      </c>
      <c r="E19" s="53">
        <f>VLOOKUP(C19,Active!C$21:E$973,3,FALSE)</f>
        <v>24611.060103328622</v>
      </c>
      <c r="F19" s="3" t="s">
        <v>66</v>
      </c>
      <c r="G19" s="10" t="str">
        <f t="shared" si="4"/>
        <v>54593.4434</v>
      </c>
      <c r="H19" s="45">
        <f t="shared" si="5"/>
        <v>24611</v>
      </c>
      <c r="I19" s="54" t="s">
        <v>123</v>
      </c>
      <c r="J19" s="55" t="s">
        <v>124</v>
      </c>
      <c r="K19" s="54" t="s">
        <v>125</v>
      </c>
      <c r="L19" s="54" t="s">
        <v>126</v>
      </c>
      <c r="M19" s="55" t="s">
        <v>116</v>
      </c>
      <c r="N19" s="55" t="s">
        <v>89</v>
      </c>
      <c r="O19" s="56" t="s">
        <v>127</v>
      </c>
      <c r="P19" s="57" t="s">
        <v>128</v>
      </c>
    </row>
    <row r="20" spans="1:16" ht="12.75" customHeight="1" thickBot="1" x14ac:dyDescent="0.25">
      <c r="A20" s="45" t="str">
        <f t="shared" si="0"/>
        <v>IBVS 5992 </v>
      </c>
      <c r="B20" s="3" t="str">
        <f t="shared" si="1"/>
        <v>I</v>
      </c>
      <c r="C20" s="45">
        <f t="shared" si="2"/>
        <v>55727.772799999999</v>
      </c>
      <c r="D20" s="10" t="str">
        <f t="shared" si="3"/>
        <v>vis</v>
      </c>
      <c r="E20" s="53">
        <f>VLOOKUP(C20,Active!C$21:E$973,3,FALSE)</f>
        <v>26759.313591806422</v>
      </c>
      <c r="F20" s="3" t="s">
        <v>66</v>
      </c>
      <c r="G20" s="10" t="str">
        <f t="shared" si="4"/>
        <v>55727.7728</v>
      </c>
      <c r="H20" s="45">
        <f t="shared" si="5"/>
        <v>26759</v>
      </c>
      <c r="I20" s="54" t="s">
        <v>129</v>
      </c>
      <c r="J20" s="55" t="s">
        <v>130</v>
      </c>
      <c r="K20" s="54" t="s">
        <v>131</v>
      </c>
      <c r="L20" s="54" t="s">
        <v>132</v>
      </c>
      <c r="M20" s="55" t="s">
        <v>116</v>
      </c>
      <c r="N20" s="55" t="s">
        <v>66</v>
      </c>
      <c r="O20" s="56" t="s">
        <v>73</v>
      </c>
      <c r="P20" s="57" t="s">
        <v>133</v>
      </c>
    </row>
    <row r="21" spans="1:16" ht="12.75" customHeight="1" thickBot="1" x14ac:dyDescent="0.25">
      <c r="A21" s="45" t="str">
        <f t="shared" si="0"/>
        <v>BAVM 220 </v>
      </c>
      <c r="B21" s="3" t="str">
        <f t="shared" si="1"/>
        <v>II</v>
      </c>
      <c r="C21" s="45">
        <f t="shared" si="2"/>
        <v>55741.550499999998</v>
      </c>
      <c r="D21" s="10" t="str">
        <f t="shared" si="3"/>
        <v>vis</v>
      </c>
      <c r="E21" s="53">
        <f>VLOOKUP(C21,Active!C$21:E$973,3,FALSE)</f>
        <v>26785.406534551446</v>
      </c>
      <c r="F21" s="3" t="s">
        <v>66</v>
      </c>
      <c r="G21" s="10" t="str">
        <f t="shared" si="4"/>
        <v>55741.5505</v>
      </c>
      <c r="H21" s="45">
        <f t="shared" si="5"/>
        <v>26785.5</v>
      </c>
      <c r="I21" s="54" t="s">
        <v>134</v>
      </c>
      <c r="J21" s="55" t="s">
        <v>135</v>
      </c>
      <c r="K21" s="54" t="s">
        <v>136</v>
      </c>
      <c r="L21" s="54" t="s">
        <v>137</v>
      </c>
      <c r="M21" s="55" t="s">
        <v>116</v>
      </c>
      <c r="N21" s="55" t="s">
        <v>104</v>
      </c>
      <c r="O21" s="56" t="s">
        <v>105</v>
      </c>
      <c r="P21" s="57" t="s">
        <v>138</v>
      </c>
    </row>
    <row r="22" spans="1:16" ht="12.75" customHeight="1" thickBot="1" x14ac:dyDescent="0.25">
      <c r="A22" s="45" t="str">
        <f t="shared" si="0"/>
        <v>IBVS 6029 </v>
      </c>
      <c r="B22" s="3" t="str">
        <f t="shared" si="1"/>
        <v>I</v>
      </c>
      <c r="C22" s="45">
        <f t="shared" si="2"/>
        <v>56074.918599999997</v>
      </c>
      <c r="D22" s="10" t="str">
        <f t="shared" si="3"/>
        <v>vis</v>
      </c>
      <c r="E22" s="53">
        <f>VLOOKUP(C22,Active!C$21:E$973,3,FALSE)</f>
        <v>27416.756814084194</v>
      </c>
      <c r="F22" s="3" t="s">
        <v>66</v>
      </c>
      <c r="G22" s="10" t="str">
        <f t="shared" si="4"/>
        <v>56074.9186</v>
      </c>
      <c r="H22" s="45">
        <f t="shared" si="5"/>
        <v>27417</v>
      </c>
      <c r="I22" s="54" t="s">
        <v>139</v>
      </c>
      <c r="J22" s="55" t="s">
        <v>140</v>
      </c>
      <c r="K22" s="54" t="s">
        <v>141</v>
      </c>
      <c r="L22" s="54" t="s">
        <v>142</v>
      </c>
      <c r="M22" s="55" t="s">
        <v>116</v>
      </c>
      <c r="N22" s="55" t="s">
        <v>66</v>
      </c>
      <c r="O22" s="56" t="s">
        <v>73</v>
      </c>
      <c r="P22" s="57" t="s">
        <v>143</v>
      </c>
    </row>
    <row r="23" spans="1:16" ht="12.75" customHeight="1" thickBot="1" x14ac:dyDescent="0.25">
      <c r="A23" s="45" t="str">
        <f t="shared" si="0"/>
        <v> BBS 125 </v>
      </c>
      <c r="B23" s="3" t="str">
        <f t="shared" si="1"/>
        <v>II</v>
      </c>
      <c r="C23" s="45">
        <f t="shared" si="2"/>
        <v>52000.608999999997</v>
      </c>
      <c r="D23" s="10" t="str">
        <f t="shared" si="3"/>
        <v>vis</v>
      </c>
      <c r="E23" s="53">
        <f>VLOOKUP(C23,Active!C$21:E$973,3,FALSE)</f>
        <v>19700.612093389682</v>
      </c>
      <c r="F23" s="3" t="s">
        <v>66</v>
      </c>
      <c r="G23" s="10" t="str">
        <f t="shared" si="4"/>
        <v>52000.609</v>
      </c>
      <c r="H23" s="45">
        <f t="shared" si="5"/>
        <v>19700.5</v>
      </c>
      <c r="I23" s="54" t="s">
        <v>79</v>
      </c>
      <c r="J23" s="55" t="s">
        <v>80</v>
      </c>
      <c r="K23" s="54">
        <v>19700.5</v>
      </c>
      <c r="L23" s="54" t="s">
        <v>81</v>
      </c>
      <c r="M23" s="55" t="s">
        <v>71</v>
      </c>
      <c r="N23" s="55" t="s">
        <v>72</v>
      </c>
      <c r="O23" s="56" t="s">
        <v>73</v>
      </c>
      <c r="P23" s="56" t="s">
        <v>82</v>
      </c>
    </row>
    <row r="24" spans="1:16" ht="12.75" customHeight="1" thickBot="1" x14ac:dyDescent="0.25">
      <c r="A24" s="45" t="str">
        <f t="shared" si="0"/>
        <v> BBS 125 </v>
      </c>
      <c r="B24" s="3" t="str">
        <f t="shared" si="1"/>
        <v>II</v>
      </c>
      <c r="C24" s="45">
        <f t="shared" si="2"/>
        <v>52053.419600000001</v>
      </c>
      <c r="D24" s="10" t="str">
        <f t="shared" si="3"/>
        <v>vis</v>
      </c>
      <c r="E24" s="53">
        <f>VLOOKUP(C24,Active!C$21:E$973,3,FALSE)</f>
        <v>19800.627622986827</v>
      </c>
      <c r="F24" s="3" t="s">
        <v>66</v>
      </c>
      <c r="G24" s="10" t="str">
        <f t="shared" si="4"/>
        <v>52053.4196</v>
      </c>
      <c r="H24" s="45">
        <f t="shared" si="5"/>
        <v>19800.5</v>
      </c>
      <c r="I24" s="54" t="s">
        <v>83</v>
      </c>
      <c r="J24" s="55" t="s">
        <v>84</v>
      </c>
      <c r="K24" s="54">
        <v>19800.5</v>
      </c>
      <c r="L24" s="54" t="s">
        <v>85</v>
      </c>
      <c r="M24" s="55" t="s">
        <v>71</v>
      </c>
      <c r="N24" s="55" t="s">
        <v>72</v>
      </c>
      <c r="O24" s="56" t="s">
        <v>73</v>
      </c>
      <c r="P24" s="56" t="s">
        <v>82</v>
      </c>
    </row>
    <row r="25" spans="1:16" ht="12.75" customHeight="1" thickBot="1" x14ac:dyDescent="0.25">
      <c r="A25" s="45" t="str">
        <f t="shared" si="0"/>
        <v> BBS 127 </v>
      </c>
      <c r="B25" s="3" t="str">
        <f t="shared" si="1"/>
        <v>I</v>
      </c>
      <c r="C25" s="45">
        <f t="shared" si="2"/>
        <v>52344.622199999998</v>
      </c>
      <c r="D25" s="10" t="str">
        <f t="shared" si="3"/>
        <v>vis</v>
      </c>
      <c r="E25" s="53">
        <f>VLOOKUP(C25,Active!C$21:E$973,3,FALSE)</f>
        <v>20352.122630789498</v>
      </c>
      <c r="F25" s="3" t="s">
        <v>66</v>
      </c>
      <c r="G25" s="10" t="str">
        <f t="shared" si="4"/>
        <v>52344.6222</v>
      </c>
      <c r="H25" s="45">
        <f t="shared" si="5"/>
        <v>20352</v>
      </c>
      <c r="I25" s="54" t="s">
        <v>92</v>
      </c>
      <c r="J25" s="55" t="s">
        <v>93</v>
      </c>
      <c r="K25" s="54">
        <v>20352</v>
      </c>
      <c r="L25" s="54" t="s">
        <v>94</v>
      </c>
      <c r="M25" s="55" t="s">
        <v>71</v>
      </c>
      <c r="N25" s="55" t="s">
        <v>72</v>
      </c>
      <c r="O25" s="56" t="s">
        <v>73</v>
      </c>
      <c r="P25" s="56" t="s">
        <v>95</v>
      </c>
    </row>
    <row r="26" spans="1:16" ht="12.75" customHeight="1" thickBot="1" x14ac:dyDescent="0.25">
      <c r="A26" s="45" t="str">
        <f t="shared" si="0"/>
        <v>BAVM 241 (=IBVS 6157) </v>
      </c>
      <c r="B26" s="3" t="str">
        <f t="shared" si="1"/>
        <v>I</v>
      </c>
      <c r="C26" s="45">
        <f t="shared" si="2"/>
        <v>57121.573499999999</v>
      </c>
      <c r="D26" s="10" t="str">
        <f t="shared" si="3"/>
        <v>vis</v>
      </c>
      <c r="E26" s="53">
        <f>VLOOKUP(C26,Active!C$21:E$973,3,FALSE)</f>
        <v>29398.967660560873</v>
      </c>
      <c r="F26" s="3" t="s">
        <v>66</v>
      </c>
      <c r="G26" s="10" t="str">
        <f t="shared" si="4"/>
        <v>57121.5735</v>
      </c>
      <c r="H26" s="45">
        <f t="shared" si="5"/>
        <v>29399</v>
      </c>
      <c r="I26" s="54" t="s">
        <v>144</v>
      </c>
      <c r="J26" s="55" t="s">
        <v>145</v>
      </c>
      <c r="K26" s="54" t="s">
        <v>146</v>
      </c>
      <c r="L26" s="54" t="s">
        <v>147</v>
      </c>
      <c r="M26" s="55" t="s">
        <v>116</v>
      </c>
      <c r="N26" s="55" t="s">
        <v>89</v>
      </c>
      <c r="O26" s="56" t="s">
        <v>148</v>
      </c>
      <c r="P26" s="57" t="s">
        <v>149</v>
      </c>
    </row>
    <row r="27" spans="1:16" x14ac:dyDescent="0.2">
      <c r="B27" s="3"/>
      <c r="E27" s="53"/>
      <c r="F27" s="3"/>
    </row>
    <row r="28" spans="1:16" x14ac:dyDescent="0.2">
      <c r="B28" s="3"/>
      <c r="E28" s="53"/>
      <c r="F28" s="3"/>
    </row>
    <row r="29" spans="1:16" x14ac:dyDescent="0.2">
      <c r="B29" s="3"/>
      <c r="E29" s="53"/>
      <c r="F29" s="3"/>
    </row>
    <row r="30" spans="1:16" x14ac:dyDescent="0.2">
      <c r="B30" s="3"/>
      <c r="E30" s="53"/>
      <c r="F30" s="3"/>
    </row>
    <row r="31" spans="1:16" x14ac:dyDescent="0.2">
      <c r="B31" s="3"/>
      <c r="E31" s="53"/>
      <c r="F31" s="3"/>
    </row>
    <row r="32" spans="1:16" x14ac:dyDescent="0.2">
      <c r="B32" s="3"/>
      <c r="E32" s="53"/>
      <c r="F32" s="3"/>
    </row>
    <row r="33" spans="2:6" x14ac:dyDescent="0.2">
      <c r="B33" s="3"/>
      <c r="E33" s="53"/>
      <c r="F33" s="3"/>
    </row>
    <row r="34" spans="2:6" x14ac:dyDescent="0.2">
      <c r="B34" s="3"/>
      <c r="E34" s="53"/>
      <c r="F34" s="3"/>
    </row>
    <row r="35" spans="2:6" x14ac:dyDescent="0.2">
      <c r="B35" s="3"/>
      <c r="E35" s="53"/>
      <c r="F35" s="3"/>
    </row>
    <row r="36" spans="2:6" x14ac:dyDescent="0.2">
      <c r="B36" s="3"/>
      <c r="E36" s="53"/>
      <c r="F36" s="3"/>
    </row>
    <row r="37" spans="2:6" x14ac:dyDescent="0.2">
      <c r="B37" s="3"/>
      <c r="E37" s="53"/>
      <c r="F37" s="3"/>
    </row>
    <row r="38" spans="2:6" x14ac:dyDescent="0.2">
      <c r="B38" s="3"/>
      <c r="E38" s="53"/>
      <c r="F38" s="3"/>
    </row>
    <row r="39" spans="2:6" x14ac:dyDescent="0.2">
      <c r="B39" s="3"/>
      <c r="E39" s="53"/>
      <c r="F39" s="3"/>
    </row>
    <row r="40" spans="2:6" x14ac:dyDescent="0.2">
      <c r="B40" s="3"/>
      <c r="E40" s="53"/>
      <c r="F40" s="3"/>
    </row>
    <row r="41" spans="2:6" x14ac:dyDescent="0.2">
      <c r="B41" s="3"/>
      <c r="E41" s="53"/>
      <c r="F41" s="3"/>
    </row>
    <row r="42" spans="2:6" x14ac:dyDescent="0.2">
      <c r="B42" s="3"/>
      <c r="E42" s="53"/>
      <c r="F42" s="3"/>
    </row>
    <row r="43" spans="2:6" x14ac:dyDescent="0.2">
      <c r="B43" s="3"/>
      <c r="E43" s="53"/>
      <c r="F43" s="3"/>
    </row>
    <row r="44" spans="2:6" x14ac:dyDescent="0.2">
      <c r="B44" s="3"/>
      <c r="E44" s="53"/>
      <c r="F44" s="3"/>
    </row>
    <row r="45" spans="2:6" x14ac:dyDescent="0.2">
      <c r="B45" s="3"/>
      <c r="E45" s="53"/>
      <c r="F45" s="3"/>
    </row>
    <row r="46" spans="2:6" x14ac:dyDescent="0.2">
      <c r="B46" s="3"/>
      <c r="E46" s="53"/>
      <c r="F46" s="3"/>
    </row>
    <row r="47" spans="2:6" x14ac:dyDescent="0.2">
      <c r="B47" s="3"/>
      <c r="E47" s="53"/>
      <c r="F47" s="3"/>
    </row>
    <row r="48" spans="2:6" x14ac:dyDescent="0.2">
      <c r="B48" s="3"/>
      <c r="E48" s="53"/>
      <c r="F48" s="3"/>
    </row>
    <row r="49" spans="2:6" x14ac:dyDescent="0.2">
      <c r="B49" s="3"/>
      <c r="E49" s="53"/>
      <c r="F49" s="3"/>
    </row>
    <row r="50" spans="2:6" x14ac:dyDescent="0.2">
      <c r="B50" s="3"/>
      <c r="E50" s="53"/>
      <c r="F50" s="3"/>
    </row>
    <row r="51" spans="2:6" x14ac:dyDescent="0.2">
      <c r="B51" s="3"/>
      <c r="E51" s="53"/>
      <c r="F51" s="3"/>
    </row>
    <row r="52" spans="2:6" x14ac:dyDescent="0.2">
      <c r="B52" s="3"/>
      <c r="E52" s="53"/>
      <c r="F52" s="3"/>
    </row>
    <row r="53" spans="2:6" x14ac:dyDescent="0.2">
      <c r="B53" s="3"/>
      <c r="E53" s="53"/>
      <c r="F53" s="3"/>
    </row>
    <row r="54" spans="2:6" x14ac:dyDescent="0.2">
      <c r="B54" s="3"/>
      <c r="E54" s="53"/>
      <c r="F54" s="3"/>
    </row>
    <row r="55" spans="2:6" x14ac:dyDescent="0.2">
      <c r="B55" s="3"/>
      <c r="E55" s="53"/>
      <c r="F55" s="3"/>
    </row>
    <row r="56" spans="2:6" x14ac:dyDescent="0.2">
      <c r="B56" s="3"/>
      <c r="E56" s="53"/>
      <c r="F56" s="3"/>
    </row>
    <row r="57" spans="2:6" x14ac:dyDescent="0.2">
      <c r="B57" s="3"/>
      <c r="E57" s="53"/>
      <c r="F57" s="3"/>
    </row>
    <row r="58" spans="2:6" x14ac:dyDescent="0.2">
      <c r="B58" s="3"/>
      <c r="E58" s="53"/>
      <c r="F58" s="3"/>
    </row>
    <row r="59" spans="2:6" x14ac:dyDescent="0.2">
      <c r="B59" s="3"/>
      <c r="E59" s="53"/>
      <c r="F59" s="3"/>
    </row>
    <row r="60" spans="2:6" x14ac:dyDescent="0.2">
      <c r="B60" s="3"/>
      <c r="E60" s="53"/>
      <c r="F60" s="3"/>
    </row>
    <row r="61" spans="2:6" x14ac:dyDescent="0.2">
      <c r="B61" s="3"/>
      <c r="E61" s="53"/>
      <c r="F61" s="3"/>
    </row>
    <row r="62" spans="2:6" x14ac:dyDescent="0.2">
      <c r="B62" s="3"/>
      <c r="E62" s="53"/>
      <c r="F62" s="3"/>
    </row>
    <row r="63" spans="2:6" x14ac:dyDescent="0.2">
      <c r="B63" s="3"/>
      <c r="E63" s="53"/>
      <c r="F63" s="3"/>
    </row>
    <row r="64" spans="2:6" x14ac:dyDescent="0.2">
      <c r="B64" s="3"/>
      <c r="E64" s="53"/>
      <c r="F64" s="3"/>
    </row>
    <row r="65" spans="2:6" x14ac:dyDescent="0.2">
      <c r="B65" s="3"/>
      <c r="E65" s="53"/>
      <c r="F65" s="3"/>
    </row>
    <row r="66" spans="2:6" x14ac:dyDescent="0.2">
      <c r="B66" s="3"/>
      <c r="E66" s="53"/>
      <c r="F66" s="3"/>
    </row>
    <row r="67" spans="2:6" x14ac:dyDescent="0.2">
      <c r="B67" s="3"/>
      <c r="E67" s="53"/>
      <c r="F67" s="3"/>
    </row>
    <row r="68" spans="2:6" x14ac:dyDescent="0.2">
      <c r="B68" s="3"/>
      <c r="E68" s="53"/>
      <c r="F68" s="3"/>
    </row>
    <row r="69" spans="2:6" x14ac:dyDescent="0.2">
      <c r="B69" s="3"/>
      <c r="E69" s="53"/>
      <c r="F69" s="3"/>
    </row>
    <row r="70" spans="2:6" x14ac:dyDescent="0.2">
      <c r="B70" s="3"/>
      <c r="E70" s="53"/>
      <c r="F70" s="3"/>
    </row>
    <row r="71" spans="2:6" x14ac:dyDescent="0.2">
      <c r="B71" s="3"/>
      <c r="E71" s="53"/>
      <c r="F71" s="3"/>
    </row>
    <row r="72" spans="2:6" x14ac:dyDescent="0.2">
      <c r="B72" s="3"/>
      <c r="E72" s="53"/>
      <c r="F72" s="3"/>
    </row>
    <row r="73" spans="2:6" x14ac:dyDescent="0.2">
      <c r="B73" s="3"/>
      <c r="E73" s="53"/>
      <c r="F73" s="3"/>
    </row>
    <row r="74" spans="2:6" x14ac:dyDescent="0.2">
      <c r="B74" s="3"/>
      <c r="E74" s="53"/>
      <c r="F74" s="3"/>
    </row>
    <row r="75" spans="2:6" x14ac:dyDescent="0.2">
      <c r="B75" s="3"/>
      <c r="E75" s="5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</sheetData>
  <phoneticPr fontId="6" type="noConversion"/>
  <hyperlinks>
    <hyperlink ref="P13" r:id="rId1" display="http://www.bav-astro.de/sfs/BAVM_link.php?BAVMnr=152"/>
    <hyperlink ref="P14" r:id="rId2" display="http://www.bav-astro.de/sfs/BAVM_link.php?BAVMnr=158"/>
    <hyperlink ref="P15" r:id="rId3" display="http://www.bav-astro.de/sfs/BAVM_link.php?BAVMnr=158"/>
    <hyperlink ref="P16" r:id="rId4" display="http://www.konkoly.hu/cgi-bin/IBVS?5677"/>
    <hyperlink ref="P17" r:id="rId5" display="http://www.bav-astro.de/sfs/BAVM_link.php?BAVMnr=178"/>
    <hyperlink ref="P18" r:id="rId6" display="http://www.konkoly.hu/cgi-bin/IBVS?5837"/>
    <hyperlink ref="P19" r:id="rId7" display="http://www.bav-astro.de/sfs/BAVM_link.php?BAVMnr=201"/>
    <hyperlink ref="P20" r:id="rId8" display="http://www.konkoly.hu/cgi-bin/IBVS?5992"/>
    <hyperlink ref="P21" r:id="rId9" display="http://www.bav-astro.de/sfs/BAVM_link.php?BAVMnr=220"/>
    <hyperlink ref="P22" r:id="rId10" display="http://www.konkoly.hu/cgi-bin/IBVS?6029"/>
    <hyperlink ref="P26" r:id="rId11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2023-08-15T02:18:57Z</dcterms:modified>
</cp:coreProperties>
</file>