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890C2C9-B347-4F62-B007-146EE52D5DFB}" xr6:coauthVersionLast="47" xr6:coauthVersionMax="47" xr10:uidLastSave="{00000000-0000-0000-0000-000000000000}"/>
  <bookViews>
    <workbookView xWindow="14250" yWindow="94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6" i="1" l="1"/>
  <c r="F46" i="1" s="1"/>
  <c r="G46" i="1" s="1"/>
  <c r="K46" i="1" s="1"/>
  <c r="Q46" i="1"/>
  <c r="Q34" i="1"/>
  <c r="Q35" i="1"/>
  <c r="Q36" i="1"/>
  <c r="Q41" i="1"/>
  <c r="G12" i="2"/>
  <c r="C12" i="2"/>
  <c r="G24" i="2"/>
  <c r="C24" i="2"/>
  <c r="C4" i="1"/>
  <c r="C7" i="1"/>
  <c r="D4" i="1"/>
  <c r="C8" i="1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13" i="2"/>
  <c r="C13" i="2"/>
  <c r="G11" i="2"/>
  <c r="C11" i="2"/>
  <c r="H12" i="2"/>
  <c r="B12" i="2"/>
  <c r="D12" i="2"/>
  <c r="A12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13" i="2"/>
  <c r="D13" i="2"/>
  <c r="B13" i="2"/>
  <c r="A13" i="2"/>
  <c r="H11" i="2"/>
  <c r="B11" i="2"/>
  <c r="D11" i="2"/>
  <c r="A11" i="2"/>
  <c r="Q33" i="1"/>
  <c r="C9" i="1"/>
  <c r="D9" i="1"/>
  <c r="Q32" i="1"/>
  <c r="Q31" i="1"/>
  <c r="Q30" i="1"/>
  <c r="Q29" i="1"/>
  <c r="Q28" i="1"/>
  <c r="Q27" i="1"/>
  <c r="Q26" i="1"/>
  <c r="Q25" i="1"/>
  <c r="Q39" i="1"/>
  <c r="Q40" i="1"/>
  <c r="Q44" i="1"/>
  <c r="Q45" i="1"/>
  <c r="F16" i="1"/>
  <c r="F17" i="1" s="1"/>
  <c r="C17" i="1"/>
  <c r="Q43" i="1"/>
  <c r="Q42" i="1"/>
  <c r="Q22" i="1"/>
  <c r="Q23" i="1"/>
  <c r="Q24" i="1"/>
  <c r="Q37" i="1"/>
  <c r="Q38" i="1"/>
  <c r="B2" i="1"/>
  <c r="Q21" i="1"/>
  <c r="E15" i="2"/>
  <c r="E23" i="2"/>
  <c r="E21" i="1"/>
  <c r="F21" i="1"/>
  <c r="G21" i="1"/>
  <c r="E43" i="1"/>
  <c r="F43" i="1"/>
  <c r="G43" i="1"/>
  <c r="I43" i="1"/>
  <c r="E45" i="1"/>
  <c r="F45" i="1"/>
  <c r="E40" i="1"/>
  <c r="F40" i="1"/>
  <c r="G40" i="1"/>
  <c r="G26" i="1"/>
  <c r="K26" i="1"/>
  <c r="E29" i="1"/>
  <c r="F29" i="1"/>
  <c r="E28" i="1"/>
  <c r="F28" i="1"/>
  <c r="G28" i="1"/>
  <c r="K28" i="1"/>
  <c r="E38" i="1"/>
  <c r="E26" i="1"/>
  <c r="F26" i="1"/>
  <c r="E37" i="1"/>
  <c r="E34" i="1"/>
  <c r="F34" i="1"/>
  <c r="G34" i="1"/>
  <c r="K34" i="1"/>
  <c r="E36" i="1"/>
  <c r="F36" i="1"/>
  <c r="G45" i="1"/>
  <c r="K45" i="1"/>
  <c r="E42" i="1"/>
  <c r="F42" i="1"/>
  <c r="G42" i="1"/>
  <c r="I42" i="1"/>
  <c r="E39" i="1"/>
  <c r="F39" i="1"/>
  <c r="G39" i="1"/>
  <c r="J39" i="1"/>
  <c r="G36" i="1"/>
  <c r="K36" i="1"/>
  <c r="E25" i="1"/>
  <c r="F25" i="1"/>
  <c r="E23" i="1"/>
  <c r="F23" i="1"/>
  <c r="E31" i="1"/>
  <c r="F31" i="1"/>
  <c r="G31" i="1"/>
  <c r="K31" i="1"/>
  <c r="E33" i="1"/>
  <c r="F33" i="1"/>
  <c r="G33" i="1"/>
  <c r="K33" i="1"/>
  <c r="G29" i="1"/>
  <c r="K29" i="1"/>
  <c r="E41" i="1"/>
  <c r="F41" i="1"/>
  <c r="E30" i="1"/>
  <c r="F30" i="1"/>
  <c r="G30" i="1"/>
  <c r="K30" i="1"/>
  <c r="E44" i="1"/>
  <c r="F44" i="1"/>
  <c r="G44" i="1"/>
  <c r="K44" i="1"/>
  <c r="E35" i="1"/>
  <c r="F35" i="1"/>
  <c r="G35" i="1"/>
  <c r="K35" i="1"/>
  <c r="E24" i="1"/>
  <c r="F24" i="1"/>
  <c r="G24" i="1"/>
  <c r="K24" i="1"/>
  <c r="E32" i="1"/>
  <c r="F32" i="1"/>
  <c r="G32" i="1"/>
  <c r="K32" i="1"/>
  <c r="G23" i="1"/>
  <c r="K23" i="1"/>
  <c r="E22" i="1"/>
  <c r="F22" i="1"/>
  <c r="G22" i="1"/>
  <c r="K22" i="1"/>
  <c r="E27" i="1"/>
  <c r="F27" i="1"/>
  <c r="G27" i="1"/>
  <c r="K27" i="1"/>
  <c r="G41" i="1"/>
  <c r="J41" i="1"/>
  <c r="E24" i="2"/>
  <c r="E20" i="2"/>
  <c r="E16" i="2"/>
  <c r="H21" i="1"/>
  <c r="E18" i="2"/>
  <c r="E21" i="2"/>
  <c r="F37" i="1"/>
  <c r="G37" i="1"/>
  <c r="E11" i="2"/>
  <c r="E17" i="2"/>
  <c r="E22" i="2"/>
  <c r="E12" i="2"/>
  <c r="F38" i="1"/>
  <c r="G38" i="1"/>
  <c r="J38" i="1"/>
  <c r="E13" i="2"/>
  <c r="E19" i="2"/>
  <c r="E14" i="2"/>
  <c r="J37" i="1"/>
  <c r="C12" i="1"/>
  <c r="C11" i="1"/>
  <c r="O46" i="1" l="1"/>
  <c r="O44" i="1"/>
  <c r="O21" i="1"/>
  <c r="O43" i="1"/>
  <c r="O36" i="1"/>
  <c r="O30" i="1"/>
  <c r="O37" i="1"/>
  <c r="O25" i="1"/>
  <c r="O39" i="1"/>
  <c r="O33" i="1"/>
  <c r="O24" i="1"/>
  <c r="O41" i="1"/>
  <c r="O29" i="1"/>
  <c r="O45" i="1"/>
  <c r="C15" i="1"/>
  <c r="O23" i="1"/>
  <c r="O35" i="1"/>
  <c r="O26" i="1"/>
  <c r="O40" i="1"/>
  <c r="O31" i="1"/>
  <c r="O22" i="1"/>
  <c r="O28" i="1"/>
  <c r="O38" i="1"/>
  <c r="O42" i="1"/>
  <c r="O27" i="1"/>
  <c r="O34" i="1"/>
  <c r="O3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<sst xmlns="http://schemas.openxmlformats.org/spreadsheetml/2006/main" count="286" uniqueCount="142">
  <si>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</si>
  <si>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</si>
  <si>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</si>
  <si>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</si>
  <si>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</si>
  <si>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</si>
  <si>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</si>
  <si>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</si>
  <si>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</si>
  <si>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</si>
  <si>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</si>
  <si>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</si>
  <si>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</si>
  <si>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</si>
  <si>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</si>
  <si>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</si>
  <si>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</si>
  <si>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</si>
  <si>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</si>
  <si>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</si>
  <si>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</si>
  <si>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</si>
  <si>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</si>
  <si>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</si>
  <si>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</si>
  <si>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</si>
  <si>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</si>
  <si>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</si>
  <si>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</si>
  <si>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</si>
  <si>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</si>
  <si>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</si>
  <si>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</si>
  <si>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V1057 Her / GSC 1541-2560               </t>
  </si>
  <si>
    <t xml:space="preserve">EA        </t>
  </si>
  <si>
    <t>IBVS 5731</t>
  </si>
  <si>
    <t>IBVS 5802</t>
  </si>
  <si>
    <t>OEJV 0107</t>
  </si>
  <si>
    <t>II</t>
  </si>
  <si>
    <t>IBVS 5060</t>
  </si>
  <si>
    <t>Add cycle</t>
  </si>
  <si>
    <t>Old Cycle</t>
  </si>
  <si>
    <t>OEJV 0137</t>
  </si>
  <si>
    <t>IBVS 5992</t>
  </si>
  <si>
    <t>IBVS 6010</t>
  </si>
  <si>
    <t>OEJV 0160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</si>
  <si>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</si>
  <si>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</si>
  <si>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</si>
  <si>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</si>
  <si>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</si>
  <si>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</si>
  <si>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</si>
  <si>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</si>
  <si>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</si>
  <si>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</si>
  <si>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</si>
  <si>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</si>
  <si>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2453524.4828 </t>
  </si>
  <si>
    <t> 02.06.2005 23:35 </t>
  </si>
  <si>
    <t> 0.0001 </t>
  </si>
  <si>
    <t>C </t>
  </si>
  <si>
    <t>-I</t>
  </si>
  <si>
    <t> F.Agerer </t>
  </si>
  <si>
    <t>BAVM 178 </t>
  </si>
  <si>
    <t>2454219.3895 </t>
  </si>
  <si>
    <t> 28.04.2007 21:20 </t>
  </si>
  <si>
    <t>1821.5</t>
  </si>
  <si>
    <t> 0.0033 </t>
  </si>
  <si>
    <t>BAVM 186 </t>
  </si>
  <si>
    <t>2454935.5189 </t>
  </si>
  <si>
    <t> 14.04.2009 00:27 </t>
  </si>
  <si>
    <t>2580.5</t>
  </si>
  <si>
    <t> -0.0001 </t>
  </si>
  <si>
    <t>R</t>
  </si>
  <si>
    <t> L.Brát </t>
  </si>
  <si>
    <t>OEJV 0107 </t>
  </si>
  <si>
    <t>2454935.5202 </t>
  </si>
  <si>
    <t> 14.04.2009 00:29 </t>
  </si>
  <si>
    <t> 0.0012 </t>
  </si>
  <si>
    <t>2455312.4566 </t>
  </si>
  <si>
    <t> 25.04.2010 22:57 </t>
  </si>
  <si>
    <t>2980</t>
  </si>
  <si>
    <t> 0.0008 </t>
  </si>
  <si>
    <t> J.Trnka </t>
  </si>
  <si>
    <t>OEJV 0137 </t>
  </si>
  <si>
    <t>2455353.4993 </t>
  </si>
  <si>
    <t> 05.06.2010 23:58 </t>
  </si>
  <si>
    <t>3023.5</t>
  </si>
  <si>
    <t> 0.0003 </t>
  </si>
  <si>
    <t>2455660.6150 </t>
  </si>
  <si>
    <t> 09.04.2011 02:45 </t>
  </si>
  <si>
    <t>3349</t>
  </si>
  <si>
    <t> -0.0002 </t>
  </si>
  <si>
    <t>BAVM 220 </t>
  </si>
  <si>
    <t>2455689.3891 </t>
  </si>
  <si>
    <t> 07.05.2011 21:20 </t>
  </si>
  <si>
    <t> -0.0035 </t>
  </si>
  <si>
    <t>2455727.8982 </t>
  </si>
  <si>
    <t> 15.06.2011 09:33 </t>
  </si>
  <si>
    <t> -0.1787 </t>
  </si>
  <si>
    <t> R.Diethelm </t>
  </si>
  <si>
    <t>IBVS 5992 </t>
  </si>
  <si>
    <t>2456013.49187 </t>
  </si>
  <si>
    <t> 26.03.2012 23:48 </t>
  </si>
  <si>
    <t> -0.00030 </t>
  </si>
  <si>
    <t> L.Šmelcer </t>
  </si>
  <si>
    <t>OEJV 0160 </t>
  </si>
  <si>
    <t>2456013.49257 </t>
  </si>
  <si>
    <t> 26.03.2012 23:49 </t>
  </si>
  <si>
    <t> 0.00040 </t>
  </si>
  <si>
    <t>2456065.38322 </t>
  </si>
  <si>
    <t> 17.05.2012 21:11 </t>
  </si>
  <si>
    <t> -0.00263 </t>
  </si>
  <si>
    <t>2456065.38402 </t>
  </si>
  <si>
    <t> 17.05.2012 21:12 </t>
  </si>
  <si>
    <t> -0.00183 </t>
  </si>
  <si>
    <t>2456065.38482 </t>
  </si>
  <si>
    <t> 17.05.2012 21:14 </t>
  </si>
  <si>
    <t> -0.00103 </t>
  </si>
  <si>
    <t>2456131.43138 </t>
  </si>
  <si>
    <t> 22.07.2012 22:21 </t>
  </si>
  <si>
    <t> -0.00097 </t>
  </si>
  <si>
    <t>2456397.50492 </t>
  </si>
  <si>
    <t> 15.04.2013 00:07 </t>
  </si>
  <si>
    <t> -0.00046 </t>
  </si>
  <si>
    <t>2456397.50597 </t>
  </si>
  <si>
    <t> 15.04.2013 00:08 </t>
  </si>
  <si>
    <t> 0.00059 </t>
  </si>
  <si>
    <t>2457143.8279 </t>
  </si>
  <si>
    <t> 01.05.2015 07:52 </t>
  </si>
  <si>
    <t> -0.0029 </t>
  </si>
  <si>
    <t> W.Moschner &amp; P.Frank </t>
  </si>
  <si>
    <t>BAVM 241 (=IBVS 6157) </t>
  </si>
  <si>
    <t>BAD?</t>
  </si>
  <si>
    <t>JAVSO..44..164</t>
  </si>
  <si>
    <t>JAVSO..44…69</t>
  </si>
  <si>
    <t>s5</t>
  </si>
  <si>
    <t>s6</t>
  </si>
  <si>
    <t>s7</t>
  </si>
  <si>
    <t>vis / CCD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</si>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</sst>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2" xfId="0" applyFont="1" applyBorder="1" applyAlignment="1">
      <alignment horizontal="center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6" fillId="0" borderId="0" xfId="0" applyFont="1" applyAlignme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76" fontId="22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V1057 Her - O-C Diagr.</a:t>
            </a:r>
          </a:p>
        </c:rich>
      </c:tx>
      <c:layout>
        <c:manualLayout>
          <c:xMode val="edge"/>
          <c:yMode val="edge"/>
          <c:x val="0.36936984228322811"/>
          <c:y val="3.5087960943657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35127795846455"/>
          <c:w val="0.8123135034157742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Active!$D$21:$D$216</c:f>
                <c:numCache>
                  <c:formatCode>General</c:formatCode>
                  <c:ptCount val="19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Active!$D$21:$D$216</c:f>
                <c:numCache>
                  <c:formatCode>General</c:formatCode>
                  <c:ptCount val="19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0</c:v>
                </c:pt>
                <c:pt idx="1">
                  <c:v>2580.5</c:v>
                </c:pt>
                <c:pt idx="2">
                  <c:v>2580.5</c:v>
                </c:pt>
                <c:pt idx="3">
                  <c:v>2580.5</c:v>
                </c:pt>
                <c:pt idx="4">
                  <c:v>3420.5</c:v>
                </c:pt>
                <c:pt idx="5">
                  <c:v>3723</c:v>
                </c:pt>
                <c:pt idx="6">
                  <c:v>3723</c:v>
                </c:pt>
                <c:pt idx="7">
                  <c:v>3778</c:v>
                </c:pt>
                <c:pt idx="8">
                  <c:v>3778</c:v>
                </c:pt>
                <c:pt idx="9">
                  <c:v>3778</c:v>
                </c:pt>
                <c:pt idx="10">
                  <c:v>3848</c:v>
                </c:pt>
                <c:pt idx="11">
                  <c:v>4130</c:v>
                </c:pt>
                <c:pt idx="12">
                  <c:v>4130</c:v>
                </c:pt>
                <c:pt idx="13">
                  <c:v>4568</c:v>
                </c:pt>
                <c:pt idx="14">
                  <c:v>4621</c:v>
                </c:pt>
                <c:pt idx="15">
                  <c:v>4976</c:v>
                </c:pt>
                <c:pt idx="16">
                  <c:v>1085</c:v>
                </c:pt>
                <c:pt idx="17">
                  <c:v>1821.5</c:v>
                </c:pt>
                <c:pt idx="18">
                  <c:v>3349</c:v>
                </c:pt>
                <c:pt idx="19">
                  <c:v>3379.5</c:v>
                </c:pt>
                <c:pt idx="20">
                  <c:v>4921</c:v>
                </c:pt>
                <c:pt idx="21">
                  <c:v>-1277</c:v>
                </c:pt>
                <c:pt idx="22">
                  <c:v>-1248.5</c:v>
                </c:pt>
                <c:pt idx="23">
                  <c:v>2980</c:v>
                </c:pt>
                <c:pt idx="24">
                  <c:v>3023.5</c:v>
                </c:pt>
                <c:pt idx="25">
                  <c:v>7707</c:v>
                </c:pt>
              </c:numCache>
            </c:numRef>
          </c:xVal>
          <c:yVal>
            <c:numRef>
              <c:f>Active!$H$21:$H$976</c:f>
              <c:numCache>
                <c:formatCode>General</c:formatCode>
                <c:ptCount val="95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BF-4854-B830-587935A725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0</c:v>
                </c:pt>
                <c:pt idx="1">
                  <c:v>2580.5</c:v>
                </c:pt>
                <c:pt idx="2">
                  <c:v>2580.5</c:v>
                </c:pt>
                <c:pt idx="3">
                  <c:v>2580.5</c:v>
                </c:pt>
                <c:pt idx="4">
                  <c:v>3420.5</c:v>
                </c:pt>
                <c:pt idx="5">
                  <c:v>3723</c:v>
                </c:pt>
                <c:pt idx="6">
                  <c:v>3723</c:v>
                </c:pt>
                <c:pt idx="7">
                  <c:v>3778</c:v>
                </c:pt>
                <c:pt idx="8">
                  <c:v>3778</c:v>
                </c:pt>
                <c:pt idx="9">
                  <c:v>3778</c:v>
                </c:pt>
                <c:pt idx="10">
                  <c:v>3848</c:v>
                </c:pt>
                <c:pt idx="11">
                  <c:v>4130</c:v>
                </c:pt>
                <c:pt idx="12">
                  <c:v>4130</c:v>
                </c:pt>
                <c:pt idx="13">
                  <c:v>4568</c:v>
                </c:pt>
                <c:pt idx="14">
                  <c:v>4621</c:v>
                </c:pt>
                <c:pt idx="15">
                  <c:v>4976</c:v>
                </c:pt>
                <c:pt idx="16">
                  <c:v>1085</c:v>
                </c:pt>
                <c:pt idx="17">
                  <c:v>1821.5</c:v>
                </c:pt>
                <c:pt idx="18">
                  <c:v>3349</c:v>
                </c:pt>
                <c:pt idx="19">
                  <c:v>3379.5</c:v>
                </c:pt>
                <c:pt idx="20">
                  <c:v>4921</c:v>
                </c:pt>
                <c:pt idx="21">
                  <c:v>-1277</c:v>
                </c:pt>
                <c:pt idx="22">
                  <c:v>-1248.5</c:v>
                </c:pt>
                <c:pt idx="23">
                  <c:v>2980</c:v>
                </c:pt>
                <c:pt idx="24">
                  <c:v>3023.5</c:v>
                </c:pt>
                <c:pt idx="25">
                  <c:v>7707</c:v>
                </c:pt>
              </c:numCache>
            </c:numRef>
          </c:xVal>
          <c:yVal>
            <c:numRef>
              <c:f>Active!$I$21:$I$976</c:f>
              <c:numCache>
                <c:formatCode>General</c:formatCode>
                <c:ptCount val="956"/>
                <c:pt idx="21">
                  <c:v>6.6150300044682808E-3</c:v>
                </c:pt>
                <c:pt idx="22">
                  <c:v>-4.1445850001764484E-3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BF-4854-B830-587935A725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0</c:v>
                </c:pt>
                <c:pt idx="1">
                  <c:v>2580.5</c:v>
                </c:pt>
                <c:pt idx="2">
                  <c:v>2580.5</c:v>
                </c:pt>
                <c:pt idx="3">
                  <c:v>2580.5</c:v>
                </c:pt>
                <c:pt idx="4">
                  <c:v>3420.5</c:v>
                </c:pt>
                <c:pt idx="5">
                  <c:v>3723</c:v>
                </c:pt>
                <c:pt idx="6">
                  <c:v>3723</c:v>
                </c:pt>
                <c:pt idx="7">
                  <c:v>3778</c:v>
                </c:pt>
                <c:pt idx="8">
                  <c:v>3778</c:v>
                </c:pt>
                <c:pt idx="9">
                  <c:v>3778</c:v>
                </c:pt>
                <c:pt idx="10">
                  <c:v>3848</c:v>
                </c:pt>
                <c:pt idx="11">
                  <c:v>4130</c:v>
                </c:pt>
                <c:pt idx="12">
                  <c:v>4130</c:v>
                </c:pt>
                <c:pt idx="13">
                  <c:v>4568</c:v>
                </c:pt>
                <c:pt idx="14">
                  <c:v>4621</c:v>
                </c:pt>
                <c:pt idx="15">
                  <c:v>4976</c:v>
                </c:pt>
                <c:pt idx="16">
                  <c:v>1085</c:v>
                </c:pt>
                <c:pt idx="17">
                  <c:v>1821.5</c:v>
                </c:pt>
                <c:pt idx="18">
                  <c:v>3349</c:v>
                </c:pt>
                <c:pt idx="19">
                  <c:v>3379.5</c:v>
                </c:pt>
                <c:pt idx="20">
                  <c:v>4921</c:v>
                </c:pt>
                <c:pt idx="21">
                  <c:v>-1277</c:v>
                </c:pt>
                <c:pt idx="22">
                  <c:v>-1248.5</c:v>
                </c:pt>
                <c:pt idx="23">
                  <c:v>2980</c:v>
                </c:pt>
                <c:pt idx="24">
                  <c:v>3023.5</c:v>
                </c:pt>
                <c:pt idx="25">
                  <c:v>7707</c:v>
                </c:pt>
              </c:numCache>
            </c:numRef>
          </c:xVal>
          <c:yVal>
            <c:numRef>
              <c:f>Active!$J$21:$J$976</c:f>
              <c:numCache>
                <c:formatCode>General</c:formatCode>
                <c:ptCount val="956"/>
                <c:pt idx="16">
                  <c:v>8.9184999524150044E-4</c:v>
                </c:pt>
                <c:pt idx="17">
                  <c:v>4.0881149980123155E-3</c:v>
                </c:pt>
                <c:pt idx="18">
                  <c:v>6.6488999436842278E-4</c:v>
                </c:pt>
                <c:pt idx="19">
                  <c:v>-2.6375050001661293E-3</c:v>
                </c:pt>
                <c:pt idx="20">
                  <c:v>-2.0601900032488629E-3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BF-4854-B830-587935A725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0</c:v>
                </c:pt>
                <c:pt idx="1">
                  <c:v>2580.5</c:v>
                </c:pt>
                <c:pt idx="2">
                  <c:v>2580.5</c:v>
                </c:pt>
                <c:pt idx="3">
                  <c:v>2580.5</c:v>
                </c:pt>
                <c:pt idx="4">
                  <c:v>3420.5</c:v>
                </c:pt>
                <c:pt idx="5">
                  <c:v>3723</c:v>
                </c:pt>
                <c:pt idx="6">
                  <c:v>3723</c:v>
                </c:pt>
                <c:pt idx="7">
                  <c:v>3778</c:v>
                </c:pt>
                <c:pt idx="8">
                  <c:v>3778</c:v>
                </c:pt>
                <c:pt idx="9">
                  <c:v>3778</c:v>
                </c:pt>
                <c:pt idx="10">
                  <c:v>3848</c:v>
                </c:pt>
                <c:pt idx="11">
                  <c:v>4130</c:v>
                </c:pt>
                <c:pt idx="12">
                  <c:v>4130</c:v>
                </c:pt>
                <c:pt idx="13">
                  <c:v>4568</c:v>
                </c:pt>
                <c:pt idx="14">
                  <c:v>4621</c:v>
                </c:pt>
                <c:pt idx="15">
                  <c:v>4976</c:v>
                </c:pt>
                <c:pt idx="16">
                  <c:v>1085</c:v>
                </c:pt>
                <c:pt idx="17">
                  <c:v>1821.5</c:v>
                </c:pt>
                <c:pt idx="18">
                  <c:v>3349</c:v>
                </c:pt>
                <c:pt idx="19">
                  <c:v>3379.5</c:v>
                </c:pt>
                <c:pt idx="20">
                  <c:v>4921</c:v>
                </c:pt>
                <c:pt idx="21">
                  <c:v>-1277</c:v>
                </c:pt>
                <c:pt idx="22">
                  <c:v>-1248.5</c:v>
                </c:pt>
                <c:pt idx="23">
                  <c:v>2980</c:v>
                </c:pt>
                <c:pt idx="24">
                  <c:v>3023.5</c:v>
                </c:pt>
                <c:pt idx="25">
                  <c:v>7707</c:v>
                </c:pt>
              </c:numCache>
            </c:numRef>
          </c:xVal>
          <c:yVal>
            <c:numRef>
              <c:f>Active!$K$21:$K$976</c:f>
              <c:numCache>
                <c:formatCode>General</c:formatCode>
                <c:ptCount val="956"/>
                <c:pt idx="1">
                  <c:v>7.7310499909799546E-4</c:v>
                </c:pt>
                <c:pt idx="2">
                  <c:v>8.2310499419691041E-4</c:v>
                </c:pt>
                <c:pt idx="3">
                  <c:v>2.1031049982411787E-3</c:v>
                </c:pt>
                <c:pt idx="5">
                  <c:v>5.3502999799093232E-4</c:v>
                </c:pt>
                <c:pt idx="6">
                  <c:v>1.2350300021353178E-3</c:v>
                </c:pt>
                <c:pt idx="7">
                  <c:v>-1.7914199997903779E-3</c:v>
                </c:pt>
                <c:pt idx="8">
                  <c:v>-9.9142000544816256E-4</c:v>
                </c:pt>
                <c:pt idx="9">
                  <c:v>-1.9142000382998958E-4</c:v>
                </c:pt>
                <c:pt idx="10">
                  <c:v>-1.287199993385002E-4</c:v>
                </c:pt>
                <c:pt idx="11">
                  <c:v>3.7929999962216243E-4</c:v>
                </c:pt>
                <c:pt idx="12">
                  <c:v>1.429299998562783E-3</c:v>
                </c:pt>
                <c:pt idx="13">
                  <c:v>2.2904799989191815E-3</c:v>
                </c:pt>
                <c:pt idx="14">
                  <c:v>-5.4318999900715426E-4</c:v>
                </c:pt>
                <c:pt idx="15">
                  <c:v>-3.2366400046157651E-3</c:v>
                </c:pt>
                <c:pt idx="23">
                  <c:v>1.7378000047756359E-3</c:v>
                </c:pt>
                <c:pt idx="24">
                  <c:v>1.2273350002942607E-3</c:v>
                </c:pt>
                <c:pt idx="25">
                  <c:v>-8.2527300037327223E-3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BF-4854-B830-587935A725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0</c:v>
                </c:pt>
                <c:pt idx="1">
                  <c:v>2580.5</c:v>
                </c:pt>
                <c:pt idx="2">
                  <c:v>2580.5</c:v>
                </c:pt>
                <c:pt idx="3">
                  <c:v>2580.5</c:v>
                </c:pt>
                <c:pt idx="4">
                  <c:v>3420.5</c:v>
                </c:pt>
                <c:pt idx="5">
                  <c:v>3723</c:v>
                </c:pt>
                <c:pt idx="6">
                  <c:v>3723</c:v>
                </c:pt>
                <c:pt idx="7">
                  <c:v>3778</c:v>
                </c:pt>
                <c:pt idx="8">
                  <c:v>3778</c:v>
                </c:pt>
                <c:pt idx="9">
                  <c:v>3778</c:v>
                </c:pt>
                <c:pt idx="10">
                  <c:v>3848</c:v>
                </c:pt>
                <c:pt idx="11">
                  <c:v>4130</c:v>
                </c:pt>
                <c:pt idx="12">
                  <c:v>4130</c:v>
                </c:pt>
                <c:pt idx="13">
                  <c:v>4568</c:v>
                </c:pt>
                <c:pt idx="14">
                  <c:v>4621</c:v>
                </c:pt>
                <c:pt idx="15">
                  <c:v>4976</c:v>
                </c:pt>
                <c:pt idx="16">
                  <c:v>1085</c:v>
                </c:pt>
                <c:pt idx="17">
                  <c:v>1821.5</c:v>
                </c:pt>
                <c:pt idx="18">
                  <c:v>3349</c:v>
                </c:pt>
                <c:pt idx="19">
                  <c:v>3379.5</c:v>
                </c:pt>
                <c:pt idx="20">
                  <c:v>4921</c:v>
                </c:pt>
                <c:pt idx="21">
                  <c:v>-1277</c:v>
                </c:pt>
                <c:pt idx="22">
                  <c:v>-1248.5</c:v>
                </c:pt>
                <c:pt idx="23">
                  <c:v>2980</c:v>
                </c:pt>
                <c:pt idx="24">
                  <c:v>3023.5</c:v>
                </c:pt>
                <c:pt idx="25">
                  <c:v>7707</c:v>
                </c:pt>
              </c:numCache>
            </c:numRef>
          </c:xVal>
          <c:yVal>
            <c:numRef>
              <c:f>Active!$L$21:$L$976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BF-4854-B830-587935A725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0</c:v>
                </c:pt>
                <c:pt idx="1">
                  <c:v>2580.5</c:v>
                </c:pt>
                <c:pt idx="2">
                  <c:v>2580.5</c:v>
                </c:pt>
                <c:pt idx="3">
                  <c:v>2580.5</c:v>
                </c:pt>
                <c:pt idx="4">
                  <c:v>3420.5</c:v>
                </c:pt>
                <c:pt idx="5">
                  <c:v>3723</c:v>
                </c:pt>
                <c:pt idx="6">
                  <c:v>3723</c:v>
                </c:pt>
                <c:pt idx="7">
                  <c:v>3778</c:v>
                </c:pt>
                <c:pt idx="8">
                  <c:v>3778</c:v>
                </c:pt>
                <c:pt idx="9">
                  <c:v>3778</c:v>
                </c:pt>
                <c:pt idx="10">
                  <c:v>3848</c:v>
                </c:pt>
                <c:pt idx="11">
                  <c:v>4130</c:v>
                </c:pt>
                <c:pt idx="12">
                  <c:v>4130</c:v>
                </c:pt>
                <c:pt idx="13">
                  <c:v>4568</c:v>
                </c:pt>
                <c:pt idx="14">
                  <c:v>4621</c:v>
                </c:pt>
                <c:pt idx="15">
                  <c:v>4976</c:v>
                </c:pt>
                <c:pt idx="16">
                  <c:v>1085</c:v>
                </c:pt>
                <c:pt idx="17">
                  <c:v>1821.5</c:v>
                </c:pt>
                <c:pt idx="18">
                  <c:v>3349</c:v>
                </c:pt>
                <c:pt idx="19">
                  <c:v>3379.5</c:v>
                </c:pt>
                <c:pt idx="20">
                  <c:v>4921</c:v>
                </c:pt>
                <c:pt idx="21">
                  <c:v>-1277</c:v>
                </c:pt>
                <c:pt idx="22">
                  <c:v>-1248.5</c:v>
                </c:pt>
                <c:pt idx="23">
                  <c:v>2980</c:v>
                </c:pt>
                <c:pt idx="24">
                  <c:v>3023.5</c:v>
                </c:pt>
                <c:pt idx="25">
                  <c:v>7707</c:v>
                </c:pt>
              </c:numCache>
            </c:numRef>
          </c:xVal>
          <c:yVal>
            <c:numRef>
              <c:f>Active!$M$21:$M$976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BF-4854-B830-587935A725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Active!$D$21:$D$976</c:f>
                <c:numCache>
                  <c:formatCode>General</c:formatCode>
                  <c:ptCount val="956"/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6.9999999999999999E-4</c:v>
                  </c:pt>
                  <c:pt idx="9">
                    <c:v>4.0000000000000002E-4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6.1000000000000004E-3</c:v>
                  </c:pt>
                  <c:pt idx="18">
                    <c:v>2.2000000000000001E-3</c:v>
                  </c:pt>
                  <c:pt idx="19">
                    <c:v>2E-3</c:v>
                  </c:pt>
                  <c:pt idx="20">
                    <c:v>5.0000000000000001E-4</c:v>
                  </c:pt>
                  <c:pt idx="21">
                    <c:v>2E-3</c:v>
                  </c:pt>
                  <c:pt idx="22">
                    <c:v>1.1999999999999999E-3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Active!$F$21:$F$976</c:f>
              <c:numCache>
                <c:formatCode>General</c:formatCode>
                <c:ptCount val="956"/>
                <c:pt idx="0">
                  <c:v>0</c:v>
                </c:pt>
                <c:pt idx="1">
                  <c:v>2580.5</c:v>
                </c:pt>
                <c:pt idx="2">
                  <c:v>2580.5</c:v>
                </c:pt>
                <c:pt idx="3">
                  <c:v>2580.5</c:v>
                </c:pt>
                <c:pt idx="4">
                  <c:v>3420.5</c:v>
                </c:pt>
                <c:pt idx="5">
                  <c:v>3723</c:v>
                </c:pt>
                <c:pt idx="6">
                  <c:v>3723</c:v>
                </c:pt>
                <c:pt idx="7">
                  <c:v>3778</c:v>
                </c:pt>
                <c:pt idx="8">
                  <c:v>3778</c:v>
                </c:pt>
                <c:pt idx="9">
                  <c:v>3778</c:v>
                </c:pt>
                <c:pt idx="10">
                  <c:v>3848</c:v>
                </c:pt>
                <c:pt idx="11">
                  <c:v>4130</c:v>
                </c:pt>
                <c:pt idx="12">
                  <c:v>4130</c:v>
                </c:pt>
                <c:pt idx="13">
                  <c:v>4568</c:v>
                </c:pt>
                <c:pt idx="14">
                  <c:v>4621</c:v>
                </c:pt>
                <c:pt idx="15">
                  <c:v>4976</c:v>
                </c:pt>
                <c:pt idx="16">
                  <c:v>1085</c:v>
                </c:pt>
                <c:pt idx="17">
                  <c:v>1821.5</c:v>
                </c:pt>
                <c:pt idx="18">
                  <c:v>3349</c:v>
                </c:pt>
                <c:pt idx="19">
                  <c:v>3379.5</c:v>
                </c:pt>
                <c:pt idx="20">
                  <c:v>4921</c:v>
                </c:pt>
                <c:pt idx="21">
                  <c:v>-1277</c:v>
                </c:pt>
                <c:pt idx="22">
                  <c:v>-1248.5</c:v>
                </c:pt>
                <c:pt idx="23">
                  <c:v>2980</c:v>
                </c:pt>
                <c:pt idx="24">
                  <c:v>3023.5</c:v>
                </c:pt>
                <c:pt idx="25">
                  <c:v>7707</c:v>
                </c:pt>
              </c:numCache>
            </c:numRef>
          </c:xVal>
          <c:yVal>
            <c:numRef>
              <c:f>Active!$N$21:$N$976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BF-4854-B830-587935A725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Active!$F$21:$F$976</c:f>
              <c:numCache>
                <c:formatCode>General</c:formatCode>
                <c:ptCount val="956"/>
                <c:pt idx="0">
                  <c:v>0</c:v>
                </c:pt>
                <c:pt idx="1">
                  <c:v>2580.5</c:v>
                </c:pt>
                <c:pt idx="2">
                  <c:v>2580.5</c:v>
                </c:pt>
                <c:pt idx="3">
                  <c:v>2580.5</c:v>
                </c:pt>
                <c:pt idx="4">
                  <c:v>3420.5</c:v>
                </c:pt>
                <c:pt idx="5">
                  <c:v>3723</c:v>
                </c:pt>
                <c:pt idx="6">
                  <c:v>3723</c:v>
                </c:pt>
                <c:pt idx="7">
                  <c:v>3778</c:v>
                </c:pt>
                <c:pt idx="8">
                  <c:v>3778</c:v>
                </c:pt>
                <c:pt idx="9">
                  <c:v>3778</c:v>
                </c:pt>
                <c:pt idx="10">
                  <c:v>3848</c:v>
                </c:pt>
                <c:pt idx="11">
                  <c:v>4130</c:v>
                </c:pt>
                <c:pt idx="12">
                  <c:v>4130</c:v>
                </c:pt>
                <c:pt idx="13">
                  <c:v>4568</c:v>
                </c:pt>
                <c:pt idx="14">
                  <c:v>4621</c:v>
                </c:pt>
                <c:pt idx="15">
                  <c:v>4976</c:v>
                </c:pt>
                <c:pt idx="16">
                  <c:v>1085</c:v>
                </c:pt>
                <c:pt idx="17">
                  <c:v>1821.5</c:v>
                </c:pt>
                <c:pt idx="18">
                  <c:v>3349</c:v>
                </c:pt>
                <c:pt idx="19">
                  <c:v>3379.5</c:v>
                </c:pt>
                <c:pt idx="20">
                  <c:v>4921</c:v>
                </c:pt>
                <c:pt idx="21">
                  <c:v>-1277</c:v>
                </c:pt>
                <c:pt idx="22">
                  <c:v>-1248.5</c:v>
                </c:pt>
                <c:pt idx="23">
                  <c:v>2980</c:v>
                </c:pt>
                <c:pt idx="24">
                  <c:v>3023.5</c:v>
                </c:pt>
                <c:pt idx="25">
                  <c:v>7707</c:v>
                </c:pt>
              </c:numCache>
            </c:numRef>
          </c:xVal>
          <c:yVal>
            <c:numRef>
              <c:f>Active!$O$21:$O$976</c:f>
              <c:numCache>
                <c:formatCode>General</c:formatCode>
                <c:ptCount val="956"/>
                <c:pt idx="0">
                  <c:v>2.2684400811896839E-3</c:v>
                </c:pt>
                <c:pt idx="1">
                  <c:v>4.3184461676266115E-4</c:v>
                </c:pt>
                <c:pt idx="2">
                  <c:v>4.3184461676266115E-4</c:v>
                </c:pt>
                <c:pt idx="3">
                  <c:v>4.3184461676266115E-4</c:v>
                </c:pt>
                <c:pt idx="4">
                  <c:v>-1.6600083571503658E-4</c:v>
                </c:pt>
                <c:pt idx="5">
                  <c:v>-3.8129637068468406E-4</c:v>
                </c:pt>
                <c:pt idx="6">
                  <c:v>-3.8129637068468406E-4</c:v>
                </c:pt>
                <c:pt idx="7">
                  <c:v>-4.2044101340643798E-4</c:v>
                </c:pt>
                <c:pt idx="8">
                  <c:v>-4.2044101340643798E-4</c:v>
                </c:pt>
                <c:pt idx="9">
                  <c:v>-4.2044101340643798E-4</c:v>
                </c:pt>
                <c:pt idx="10">
                  <c:v>-4.7026146777957942E-4</c:v>
                </c:pt>
                <c:pt idx="11">
                  <c:v>-6.7096672682566373E-4</c:v>
                </c:pt>
                <c:pt idx="12">
                  <c:v>-6.7096672682566373E-4</c:v>
                </c:pt>
                <c:pt idx="13">
                  <c:v>-9.8270042704617748E-4</c:v>
                </c:pt>
                <c:pt idx="14">
                  <c:v>-1.0204216282144133E-3</c:v>
                </c:pt>
                <c:pt idx="15">
                  <c:v>-1.2730825039639166E-3</c:v>
                </c:pt>
                <c:pt idx="16">
                  <c:v>1.4962230384059909E-3</c:v>
                </c:pt>
                <c:pt idx="17">
                  <c:v>9.7204068632286656E-4</c:v>
                </c:pt>
                <c:pt idx="18">
                  <c:v>-1.1511280017675657E-4</c:v>
                </c:pt>
                <c:pt idx="19">
                  <c:v>-1.3682028386791112E-4</c:v>
                </c:pt>
                <c:pt idx="20">
                  <c:v>-1.2339378612421623E-3</c:v>
                </c:pt>
                <c:pt idx="21">
                  <c:v>3.1773075131111364E-3</c:v>
                </c:pt>
                <c:pt idx="22">
                  <c:v>3.1570234709735003E-3</c:v>
                </c:pt>
                <c:pt idx="23">
                  <c:v>1.4751216644737523E-4</c:v>
                </c:pt>
                <c:pt idx="24">
                  <c:v>1.1655231265835127E-4</c:v>
                </c:pt>
                <c:pt idx="25">
                  <c:v>-3.2167919452931932E-3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BF-4854-B830-587935A725B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2580.5</c:v>
                </c:pt>
                <c:pt idx="2">
                  <c:v>2580.5</c:v>
                </c:pt>
                <c:pt idx="3">
                  <c:v>2580.5</c:v>
                </c:pt>
                <c:pt idx="4">
                  <c:v>3420.5</c:v>
                </c:pt>
                <c:pt idx="5">
                  <c:v>3723</c:v>
                </c:pt>
                <c:pt idx="6">
                  <c:v>3723</c:v>
                </c:pt>
                <c:pt idx="7">
                  <c:v>3778</c:v>
                </c:pt>
                <c:pt idx="8">
                  <c:v>3778</c:v>
                </c:pt>
                <c:pt idx="9">
                  <c:v>3778</c:v>
                </c:pt>
                <c:pt idx="10">
                  <c:v>3848</c:v>
                </c:pt>
                <c:pt idx="11">
                  <c:v>4130</c:v>
                </c:pt>
                <c:pt idx="12">
                  <c:v>4130</c:v>
                </c:pt>
                <c:pt idx="13">
                  <c:v>4568</c:v>
                </c:pt>
                <c:pt idx="14">
                  <c:v>4621</c:v>
                </c:pt>
                <c:pt idx="15">
                  <c:v>4976</c:v>
                </c:pt>
                <c:pt idx="16">
                  <c:v>1085</c:v>
                </c:pt>
                <c:pt idx="17">
                  <c:v>1821.5</c:v>
                </c:pt>
                <c:pt idx="18">
                  <c:v>3349</c:v>
                </c:pt>
                <c:pt idx="19">
                  <c:v>3379.5</c:v>
                </c:pt>
                <c:pt idx="20">
                  <c:v>4921</c:v>
                </c:pt>
                <c:pt idx="21">
                  <c:v>-1277</c:v>
                </c:pt>
                <c:pt idx="22">
                  <c:v>-1248.5</c:v>
                </c:pt>
                <c:pt idx="23">
                  <c:v>2980</c:v>
                </c:pt>
                <c:pt idx="24">
                  <c:v>3023.5</c:v>
                </c:pt>
                <c:pt idx="25">
                  <c:v>7707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">
                  <c:v>-0.17791449499782175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BF-4854-B830-587935A72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87848"/>
        <c:axId val="1"/>
      </c:scatterChart>
      <c:valAx>
        <c:axId val="556187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2931671829317"/>
              <c:y val="0.845031717974028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50950008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187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180495456086"/>
          <c:y val="0.92397909444992854"/>
          <c:w val="0.78228338574795275"/>
          <c:h val="5.84798328780330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95250</xdr:colOff>
      <xdr:row>19</xdr:row>
      <xdr:rowOff>9525</xdr:rowOff>
    </xdr:to>
    <xdr:graphicFrame macro="">
      <xdr:nvGraphicFramePr>
        <xdr:cNvPr id="1032" name="Chart 3">
          <a:extLst>
            <a:ext uri="{FF2B5EF4-FFF2-40B4-BE49-F238E27FC236}">
              <a16:creationId xmlns:a16="http://schemas.microsoft.com/office/drawing/2014/main" id="{202FA5D6-B562-F740-1F31-576E843E6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07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86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78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07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hyperlink" Target="http://www.bav-astro.de/sfs/BAVM_link.php?BAVMnr=220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17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33</v>
      </c>
      <c r="F1" s="3">
        <v>52500.761200000001</v>
      </c>
      <c r="G1" s="3">
        <v>0.94352139000000002</v>
      </c>
      <c r="H1" s="3" t="s">
        <v>34</v>
      </c>
    </row>
    <row r="2" spans="1:8" x14ac:dyDescent="0.2">
      <c r="A2" t="s">
        <v>22</v>
      </c>
      <c r="B2" t="str">
        <f>H1</f>
        <v xml:space="preserve">EA        </v>
      </c>
      <c r="C2" s="3"/>
      <c r="D2" s="3"/>
    </row>
    <row r="3" spans="1:8" ht="13.5" thickBot="1" x14ac:dyDescent="0.25"/>
    <row r="4" spans="1:8" ht="14.25" thickTop="1" thickBot="1" x14ac:dyDescent="0.25">
      <c r="A4" s="5" t="s">
        <v>32</v>
      </c>
      <c r="C4" s="8">
        <f>F1</f>
        <v>52500.761200000001</v>
      </c>
      <c r="D4" s="9">
        <f>G1</f>
        <v>0.94352139000000002</v>
      </c>
    </row>
    <row r="5" spans="1:8" ht="13.5" thickTop="1" x14ac:dyDescent="0.2">
      <c r="A5" s="11" t="s">
        <v>24</v>
      </c>
      <c r="B5" s="12"/>
      <c r="C5" s="13">
        <v>-9.5</v>
      </c>
      <c r="D5" s="12" t="s">
        <v>25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52500.761200000001</v>
      </c>
    </row>
    <row r="8" spans="1:8" x14ac:dyDescent="0.2">
      <c r="A8" t="s">
        <v>2</v>
      </c>
      <c r="C8">
        <f>D4</f>
        <v>0.94352139000000002</v>
      </c>
      <c r="D8" s="29"/>
    </row>
    <row r="9" spans="1:8" x14ac:dyDescent="0.2">
      <c r="A9" s="26" t="s">
        <v>29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INTERCEPT(INDIRECT($D$9):G986,INDIRECT($C$9):F986)</f>
        <v>2.2684400811896839E-3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SLOPE(INDIRECT($D$9):G986,INDIRECT($C$9):F986)</f>
        <v>-7.1172077675916406E-7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(C7+C11)+(C8+C12)*INT(MAX(F21:F3527))</f>
        <v>59772.477335938056</v>
      </c>
      <c r="E15" s="16" t="s">
        <v>40</v>
      </c>
      <c r="F15" s="13">
        <v>1</v>
      </c>
    </row>
    <row r="16" spans="1:8" x14ac:dyDescent="0.2">
      <c r="A16" s="18" t="s">
        <v>3</v>
      </c>
      <c r="B16" s="12"/>
      <c r="C16" s="19">
        <f ca="1">+C8+C12</f>
        <v>0.94352067827922326</v>
      </c>
      <c r="E16" s="16" t="s">
        <v>26</v>
      </c>
      <c r="F16" s="17">
        <f ca="1">NOW()+15018.5+$C$5/24</f>
        <v>59960.712560416665</v>
      </c>
    </row>
    <row r="17" spans="1:21" ht="13.5" thickBot="1" x14ac:dyDescent="0.25">
      <c r="A17" s="16" t="s">
        <v>23</v>
      </c>
      <c r="B17" s="12"/>
      <c r="C17" s="12">
        <f>COUNT(C21:C2185)</f>
        <v>26</v>
      </c>
      <c r="E17" s="16" t="s">
        <v>41</v>
      </c>
      <c r="F17" s="17">
        <f ca="1">ROUND(2*(F16-$C$7)/$C$8,0)/2+F15</f>
        <v>7907.5</v>
      </c>
    </row>
    <row r="18" spans="1:21" ht="14.25" thickTop="1" thickBot="1" x14ac:dyDescent="0.25">
      <c r="A18" s="18" t="s">
        <v>4</v>
      </c>
      <c r="B18" s="12"/>
      <c r="C18" s="21">
        <f ca="1">+C15</f>
        <v>59772.477335938056</v>
      </c>
      <c r="D18" s="22">
        <f ca="1">+C16</f>
        <v>0.94352067827922326</v>
      </c>
      <c r="E18" s="16" t="s">
        <v>27</v>
      </c>
      <c r="F18" s="25">
        <f ca="1">ROUND(2*(F16-$C$15)/$C$16,0)/2+F15</f>
        <v>200.5</v>
      </c>
    </row>
    <row r="19" spans="1:21" ht="13.5" thickTop="1" x14ac:dyDescent="0.2">
      <c r="E19" s="16" t="s">
        <v>28</v>
      </c>
      <c r="F19" s="20">
        <f ca="1">+$C$15+$C$16*F18-15018.5-$C$5/24</f>
        <v>44943.549065266379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54</v>
      </c>
      <c r="I20" s="7" t="s">
        <v>57</v>
      </c>
      <c r="J20" s="7" t="s">
        <v>51</v>
      </c>
      <c r="K20" s="7" t="s">
        <v>49</v>
      </c>
      <c r="L20" s="7" t="s">
        <v>137</v>
      </c>
      <c r="M20" s="7" t="s">
        <v>138</v>
      </c>
      <c r="N20" s="7" t="s">
        <v>139</v>
      </c>
      <c r="O20" s="7" t="s">
        <v>21</v>
      </c>
      <c r="P20" s="6" t="s">
        <v>20</v>
      </c>
      <c r="Q20" s="4" t="s">
        <v>13</v>
      </c>
      <c r="U20" s="51" t="s">
        <v>134</v>
      </c>
    </row>
    <row r="21" spans="1:21" x14ac:dyDescent="0.2">
      <c r="A21" s="31" t="s">
        <v>31</v>
      </c>
      <c r="B21" s="30" t="s">
        <v>30</v>
      </c>
      <c r="C21" s="31">
        <v>52500.761200000001</v>
      </c>
      <c r="D21" s="28"/>
      <c r="E21">
        <f t="shared" ref="E21:E45" si="0">+(C21-C$7)/C$8</f>
        <v>0</v>
      </c>
      <c r="F21">
        <f t="shared" ref="F21:F45" si="1">ROUND(2*E21,0)/2</f>
        <v>0</v>
      </c>
      <c r="G21">
        <f>+C21-(C$7+F21*C$8)</f>
        <v>0</v>
      </c>
      <c r="H21">
        <f>+G21</f>
        <v>0</v>
      </c>
      <c r="O21">
        <f t="shared" ref="O21:O45" ca="1" si="2">+C$11+C$12*$F21</f>
        <v>2.2684400811896839E-3</v>
      </c>
      <c r="Q21" s="2">
        <f t="shared" ref="Q21:Q45" si="3">+C21-15018.5</f>
        <v>37482.261200000001</v>
      </c>
      <c r="R21" s="58" t="s">
        <v>49</v>
      </c>
    </row>
    <row r="22" spans="1:21" x14ac:dyDescent="0.2">
      <c r="A22" s="33" t="s">
        <v>37</v>
      </c>
      <c r="B22" s="30" t="s">
        <v>38</v>
      </c>
      <c r="C22" s="31">
        <v>54935.518920000002</v>
      </c>
      <c r="D22" s="31">
        <v>8.0000000000000004E-4</v>
      </c>
      <c r="E22">
        <f t="shared" si="0"/>
        <v>2580.5008193825911</v>
      </c>
      <c r="F22">
        <f t="shared" si="1"/>
        <v>2580.5</v>
      </c>
      <c r="G22">
        <f>+C22-(C$7+F22*C$8)</f>
        <v>7.7310499909799546E-4</v>
      </c>
      <c r="K22">
        <f>+G22</f>
        <v>7.7310499909799546E-4</v>
      </c>
      <c r="O22">
        <f t="shared" ca="1" si="2"/>
        <v>4.3184461676266115E-4</v>
      </c>
      <c r="Q22" s="2">
        <f t="shared" si="3"/>
        <v>39917.018920000002</v>
      </c>
      <c r="R22" t="s">
        <v>49</v>
      </c>
    </row>
    <row r="23" spans="1:21" x14ac:dyDescent="0.2">
      <c r="A23" s="33" t="s">
        <v>37</v>
      </c>
      <c r="B23" s="30" t="s">
        <v>38</v>
      </c>
      <c r="C23" s="31">
        <v>54935.518969999997</v>
      </c>
      <c r="D23" s="31">
        <v>8.0000000000000004E-4</v>
      </c>
      <c r="E23">
        <f t="shared" si="0"/>
        <v>2580.5008723755554</v>
      </c>
      <c r="F23">
        <f t="shared" si="1"/>
        <v>2580.5</v>
      </c>
      <c r="G23">
        <f>+C23-(C$7+F23*C$8)</f>
        <v>8.2310499419691041E-4</v>
      </c>
      <c r="K23">
        <f>+G23</f>
        <v>8.2310499419691041E-4</v>
      </c>
      <c r="O23">
        <f t="shared" ca="1" si="2"/>
        <v>4.3184461676266115E-4</v>
      </c>
      <c r="Q23" s="2">
        <f t="shared" si="3"/>
        <v>39917.018969999997</v>
      </c>
      <c r="R23" t="s">
        <v>49</v>
      </c>
    </row>
    <row r="24" spans="1:21" x14ac:dyDescent="0.2">
      <c r="A24" s="33" t="s">
        <v>37</v>
      </c>
      <c r="B24" s="30" t="s">
        <v>38</v>
      </c>
      <c r="C24" s="31">
        <v>54935.520250000001</v>
      </c>
      <c r="D24" s="31">
        <v>8.0000000000000004E-4</v>
      </c>
      <c r="E24">
        <f t="shared" si="0"/>
        <v>2580.5022289955723</v>
      </c>
      <c r="F24">
        <f t="shared" si="1"/>
        <v>2580.5</v>
      </c>
      <c r="G24">
        <f>+C24-(C$7+F24*C$8)</f>
        <v>2.1031049982411787E-3</v>
      </c>
      <c r="K24">
        <f>+G24</f>
        <v>2.1031049982411787E-3</v>
      </c>
      <c r="O24">
        <f t="shared" ca="1" si="2"/>
        <v>4.3184461676266115E-4</v>
      </c>
      <c r="Q24" s="2">
        <f t="shared" si="3"/>
        <v>39917.020250000001</v>
      </c>
      <c r="R24" t="s">
        <v>49</v>
      </c>
    </row>
    <row r="25" spans="1:21" x14ac:dyDescent="0.2">
      <c r="A25" s="36" t="s">
        <v>43</v>
      </c>
      <c r="B25" s="37" t="s">
        <v>38</v>
      </c>
      <c r="C25" s="36">
        <v>55727.898200000003</v>
      </c>
      <c r="D25" s="36">
        <v>1E-3</v>
      </c>
      <c r="E25">
        <f t="shared" si="0"/>
        <v>3420.3114356527758</v>
      </c>
      <c r="F25">
        <f t="shared" si="1"/>
        <v>3420.5</v>
      </c>
      <c r="O25">
        <f t="shared" ca="1" si="2"/>
        <v>-1.6600083571503658E-4</v>
      </c>
      <c r="Q25" s="2">
        <f t="shared" si="3"/>
        <v>40709.398200000003</v>
      </c>
      <c r="R25" t="s">
        <v>49</v>
      </c>
      <c r="U25" s="25">
        <v>-0.17791449499782175</v>
      </c>
    </row>
    <row r="26" spans="1:21" x14ac:dyDescent="0.2">
      <c r="A26" s="52" t="s">
        <v>45</v>
      </c>
      <c r="B26" s="53" t="s">
        <v>30</v>
      </c>
      <c r="C26" s="54">
        <v>56013.491869999998</v>
      </c>
      <c r="D26" s="54">
        <v>4.0000000000000002E-4</v>
      </c>
      <c r="E26">
        <f t="shared" si="0"/>
        <v>3723.0005670565638</v>
      </c>
      <c r="F26">
        <f t="shared" si="1"/>
        <v>3723</v>
      </c>
      <c r="G26">
        <f t="shared" ref="G26:G45" si="4">+C26-(C$7+F26*C$8)</f>
        <v>5.3502999799093232E-4</v>
      </c>
      <c r="K26">
        <f t="shared" ref="K26:K36" si="5">+G26</f>
        <v>5.3502999799093232E-4</v>
      </c>
      <c r="O26">
        <f t="shared" ca="1" si="2"/>
        <v>-3.8129637068468406E-4</v>
      </c>
      <c r="Q26" s="2">
        <f t="shared" si="3"/>
        <v>40994.991869999998</v>
      </c>
      <c r="R26" t="s">
        <v>49</v>
      </c>
    </row>
    <row r="27" spans="1:21" x14ac:dyDescent="0.2">
      <c r="A27" s="52" t="s">
        <v>45</v>
      </c>
      <c r="B27" s="53" t="s">
        <v>30</v>
      </c>
      <c r="C27" s="54">
        <v>56013.492570000002</v>
      </c>
      <c r="D27" s="54">
        <v>5.0000000000000001E-4</v>
      </c>
      <c r="E27">
        <f t="shared" si="0"/>
        <v>3723.0013089581375</v>
      </c>
      <c r="F27">
        <f t="shared" si="1"/>
        <v>3723</v>
      </c>
      <c r="G27">
        <f t="shared" si="4"/>
        <v>1.2350300021353178E-3</v>
      </c>
      <c r="K27">
        <f t="shared" si="5"/>
        <v>1.2350300021353178E-3</v>
      </c>
      <c r="O27">
        <f t="shared" ca="1" si="2"/>
        <v>-3.8129637068468406E-4</v>
      </c>
      <c r="Q27" s="2">
        <f t="shared" si="3"/>
        <v>40994.992570000002</v>
      </c>
      <c r="R27" t="s">
        <v>49</v>
      </c>
    </row>
    <row r="28" spans="1:21" x14ac:dyDescent="0.2">
      <c r="A28" s="52" t="s">
        <v>45</v>
      </c>
      <c r="B28" s="53" t="s">
        <v>30</v>
      </c>
      <c r="C28" s="54">
        <v>56065.383220000003</v>
      </c>
      <c r="D28" s="54">
        <v>5.0000000000000001E-4</v>
      </c>
      <c r="E28">
        <f t="shared" si="0"/>
        <v>3777.9981013467036</v>
      </c>
      <c r="F28">
        <f t="shared" si="1"/>
        <v>3778</v>
      </c>
      <c r="G28">
        <f t="shared" si="4"/>
        <v>-1.7914199997903779E-3</v>
      </c>
      <c r="K28">
        <f t="shared" si="5"/>
        <v>-1.7914199997903779E-3</v>
      </c>
      <c r="O28">
        <f t="shared" ca="1" si="2"/>
        <v>-4.2044101340643798E-4</v>
      </c>
      <c r="Q28" s="2">
        <f t="shared" si="3"/>
        <v>41046.883220000003</v>
      </c>
      <c r="R28" t="s">
        <v>49</v>
      </c>
    </row>
    <row r="29" spans="1:21" x14ac:dyDescent="0.2">
      <c r="A29" s="52" t="s">
        <v>45</v>
      </c>
      <c r="B29" s="53" t="s">
        <v>30</v>
      </c>
      <c r="C29" s="54">
        <v>56065.384019999998</v>
      </c>
      <c r="D29" s="54">
        <v>6.9999999999999999E-4</v>
      </c>
      <c r="E29">
        <f t="shared" si="0"/>
        <v>3777.9989492342052</v>
      </c>
      <c r="F29">
        <f t="shared" si="1"/>
        <v>3778</v>
      </c>
      <c r="G29">
        <f t="shared" si="4"/>
        <v>-9.9142000544816256E-4</v>
      </c>
      <c r="K29">
        <f t="shared" si="5"/>
        <v>-9.9142000544816256E-4</v>
      </c>
      <c r="O29">
        <f t="shared" ca="1" si="2"/>
        <v>-4.2044101340643798E-4</v>
      </c>
      <c r="Q29" s="2">
        <f t="shared" si="3"/>
        <v>41046.884019999998</v>
      </c>
      <c r="R29" t="s">
        <v>49</v>
      </c>
    </row>
    <row r="30" spans="1:21" x14ac:dyDescent="0.2">
      <c r="A30" s="52" t="s">
        <v>45</v>
      </c>
      <c r="B30" s="53" t="s">
        <v>30</v>
      </c>
      <c r="C30" s="54">
        <v>56065.384819999999</v>
      </c>
      <c r="D30" s="54">
        <v>4.0000000000000002E-4</v>
      </c>
      <c r="E30">
        <f t="shared" si="0"/>
        <v>3777.9997971217149</v>
      </c>
      <c r="F30">
        <f t="shared" si="1"/>
        <v>3778</v>
      </c>
      <c r="G30">
        <f t="shared" si="4"/>
        <v>-1.9142000382998958E-4</v>
      </c>
      <c r="K30">
        <f t="shared" si="5"/>
        <v>-1.9142000382998958E-4</v>
      </c>
      <c r="O30">
        <f t="shared" ca="1" si="2"/>
        <v>-4.2044101340643798E-4</v>
      </c>
      <c r="Q30" s="2">
        <f t="shared" si="3"/>
        <v>41046.884819999999</v>
      </c>
      <c r="R30" t="s">
        <v>49</v>
      </c>
    </row>
    <row r="31" spans="1:21" x14ac:dyDescent="0.2">
      <c r="A31" s="52" t="s">
        <v>45</v>
      </c>
      <c r="B31" s="53" t="s">
        <v>30</v>
      </c>
      <c r="C31" s="54">
        <v>56131.431380000002</v>
      </c>
      <c r="D31" s="54">
        <v>2.0000000000000001E-4</v>
      </c>
      <c r="E31">
        <f t="shared" si="0"/>
        <v>3847.9998635749012</v>
      </c>
      <c r="F31">
        <f t="shared" si="1"/>
        <v>3848</v>
      </c>
      <c r="G31">
        <f t="shared" si="4"/>
        <v>-1.287199993385002E-4</v>
      </c>
      <c r="K31">
        <f t="shared" si="5"/>
        <v>-1.287199993385002E-4</v>
      </c>
      <c r="O31">
        <f t="shared" ca="1" si="2"/>
        <v>-4.7026146777957942E-4</v>
      </c>
      <c r="Q31" s="2">
        <f t="shared" si="3"/>
        <v>41112.931380000002</v>
      </c>
      <c r="R31" t="s">
        <v>49</v>
      </c>
    </row>
    <row r="32" spans="1:21" x14ac:dyDescent="0.2">
      <c r="A32" s="52" t="s">
        <v>45</v>
      </c>
      <c r="B32" s="53" t="s">
        <v>30</v>
      </c>
      <c r="C32" s="54">
        <v>56397.504919999999</v>
      </c>
      <c r="D32" s="54">
        <v>2.9999999999999997E-4</v>
      </c>
      <c r="E32">
        <f t="shared" si="0"/>
        <v>4130.0004020046626</v>
      </c>
      <c r="F32">
        <f t="shared" si="1"/>
        <v>4130</v>
      </c>
      <c r="G32">
        <f t="shared" si="4"/>
        <v>3.7929999962216243E-4</v>
      </c>
      <c r="K32">
        <f t="shared" si="5"/>
        <v>3.7929999962216243E-4</v>
      </c>
      <c r="O32">
        <f t="shared" ca="1" si="2"/>
        <v>-6.7096672682566373E-4</v>
      </c>
      <c r="Q32" s="2">
        <f t="shared" si="3"/>
        <v>41379.004919999999</v>
      </c>
      <c r="R32" t="s">
        <v>49</v>
      </c>
    </row>
    <row r="33" spans="1:21" x14ac:dyDescent="0.2">
      <c r="A33" s="52" t="s">
        <v>45</v>
      </c>
      <c r="B33" s="53" t="s">
        <v>30</v>
      </c>
      <c r="C33" s="54">
        <v>56397.505969999998</v>
      </c>
      <c r="D33" s="54">
        <v>5.0000000000000001E-4</v>
      </c>
      <c r="E33">
        <f t="shared" si="0"/>
        <v>4130.0015148570164</v>
      </c>
      <c r="F33">
        <f t="shared" si="1"/>
        <v>4130</v>
      </c>
      <c r="G33">
        <f t="shared" si="4"/>
        <v>1.429299998562783E-3</v>
      </c>
      <c r="K33">
        <f t="shared" si="5"/>
        <v>1.429299998562783E-3</v>
      </c>
      <c r="O33">
        <f t="shared" ca="1" si="2"/>
        <v>-6.7096672682566373E-4</v>
      </c>
      <c r="Q33" s="2">
        <f t="shared" si="3"/>
        <v>41379.005969999998</v>
      </c>
      <c r="R33" t="s">
        <v>49</v>
      </c>
    </row>
    <row r="34" spans="1:21" x14ac:dyDescent="0.2">
      <c r="A34" s="55" t="s">
        <v>135</v>
      </c>
      <c r="B34" s="56" t="s">
        <v>30</v>
      </c>
      <c r="C34" s="57">
        <v>56810.769200000002</v>
      </c>
      <c r="D34" s="57">
        <v>2.9999999999999997E-4</v>
      </c>
      <c r="E34">
        <f t="shared" si="0"/>
        <v>4568.0024275867254</v>
      </c>
      <c r="F34">
        <f t="shared" si="1"/>
        <v>4568</v>
      </c>
      <c r="G34">
        <f t="shared" si="4"/>
        <v>2.2904799989191815E-3</v>
      </c>
      <c r="K34">
        <f t="shared" si="5"/>
        <v>2.2904799989191815E-3</v>
      </c>
      <c r="O34">
        <f t="shared" ca="1" si="2"/>
        <v>-9.8270042704617748E-4</v>
      </c>
      <c r="Q34" s="2">
        <f t="shared" si="3"/>
        <v>41792.269200000002</v>
      </c>
      <c r="R34" s="58" t="s">
        <v>49</v>
      </c>
    </row>
    <row r="35" spans="1:21" x14ac:dyDescent="0.2">
      <c r="A35" s="55" t="s">
        <v>136</v>
      </c>
      <c r="B35" s="56" t="s">
        <v>30</v>
      </c>
      <c r="C35" s="57">
        <v>56860.773000000001</v>
      </c>
      <c r="D35" s="57">
        <v>1E-4</v>
      </c>
      <c r="E35">
        <f t="shared" si="0"/>
        <v>4620.9994242949806</v>
      </c>
      <c r="F35">
        <f t="shared" si="1"/>
        <v>4621</v>
      </c>
      <c r="G35">
        <f t="shared" si="4"/>
        <v>-5.4318999900715426E-4</v>
      </c>
      <c r="K35">
        <f t="shared" si="5"/>
        <v>-5.4318999900715426E-4</v>
      </c>
      <c r="O35">
        <f t="shared" ca="1" si="2"/>
        <v>-1.0204216282144133E-3</v>
      </c>
      <c r="Q35" s="2">
        <f t="shared" si="3"/>
        <v>41842.273000000001</v>
      </c>
      <c r="R35" s="58" t="s">
        <v>49</v>
      </c>
    </row>
    <row r="36" spans="1:21" x14ac:dyDescent="0.2">
      <c r="A36" s="55" t="s">
        <v>136</v>
      </c>
      <c r="B36" s="56" t="s">
        <v>30</v>
      </c>
      <c r="C36" s="57">
        <v>57195.720399999998</v>
      </c>
      <c r="D36" s="57">
        <v>2.0000000000000001E-4</v>
      </c>
      <c r="E36">
        <f t="shared" si="0"/>
        <v>4975.9965696167183</v>
      </c>
      <c r="F36">
        <f t="shared" si="1"/>
        <v>4976</v>
      </c>
      <c r="G36">
        <f t="shared" si="4"/>
        <v>-3.2366400046157651E-3</v>
      </c>
      <c r="K36">
        <f t="shared" si="5"/>
        <v>-3.2366400046157651E-3</v>
      </c>
      <c r="O36">
        <f t="shared" ca="1" si="2"/>
        <v>-1.2730825039639166E-3</v>
      </c>
      <c r="Q36" s="2">
        <f t="shared" si="3"/>
        <v>42177.220399999998</v>
      </c>
      <c r="R36" s="58" t="s">
        <v>49</v>
      </c>
    </row>
    <row r="37" spans="1:21" x14ac:dyDescent="0.2">
      <c r="A37" s="31" t="s">
        <v>35</v>
      </c>
      <c r="B37" s="32"/>
      <c r="C37" s="31">
        <v>53524.482799999998</v>
      </c>
      <c r="D37" s="31">
        <v>1.1000000000000001E-3</v>
      </c>
      <c r="E37">
        <f t="shared" si="0"/>
        <v>1085.0009452355894</v>
      </c>
      <c r="F37">
        <f t="shared" si="1"/>
        <v>1085</v>
      </c>
      <c r="G37">
        <f t="shared" si="4"/>
        <v>8.9184999524150044E-4</v>
      </c>
      <c r="J37">
        <f>+G37</f>
        <v>8.9184999524150044E-4</v>
      </c>
      <c r="O37">
        <f t="shared" ca="1" si="2"/>
        <v>1.4962230384059909E-3</v>
      </c>
      <c r="Q37" s="2">
        <f t="shared" si="3"/>
        <v>38505.982799999998</v>
      </c>
      <c r="R37" t="s">
        <v>51</v>
      </c>
    </row>
    <row r="38" spans="1:21" x14ac:dyDescent="0.2">
      <c r="A38" s="31" t="s">
        <v>36</v>
      </c>
      <c r="B38" s="32"/>
      <c r="C38" s="31">
        <v>54219.389499999997</v>
      </c>
      <c r="D38" s="31">
        <v>6.1000000000000004E-3</v>
      </c>
      <c r="E38">
        <f t="shared" si="0"/>
        <v>1821.5043328270456</v>
      </c>
      <c r="F38">
        <f t="shared" si="1"/>
        <v>1821.5</v>
      </c>
      <c r="G38">
        <f t="shared" si="4"/>
        <v>4.0881149980123155E-3</v>
      </c>
      <c r="J38">
        <f>+G38</f>
        <v>4.0881149980123155E-3</v>
      </c>
      <c r="O38">
        <f t="shared" ca="1" si="2"/>
        <v>9.7204068632286656E-4</v>
      </c>
      <c r="Q38" s="2">
        <f t="shared" si="3"/>
        <v>39200.889499999997</v>
      </c>
      <c r="R38" t="s">
        <v>51</v>
      </c>
      <c r="U38" s="25"/>
    </row>
    <row r="39" spans="1:21" x14ac:dyDescent="0.2">
      <c r="A39" s="36" t="s">
        <v>44</v>
      </c>
      <c r="B39" s="37" t="s">
        <v>30</v>
      </c>
      <c r="C39" s="36">
        <v>55660.614999999998</v>
      </c>
      <c r="D39" s="36">
        <v>2.2000000000000001E-3</v>
      </c>
      <c r="E39">
        <f t="shared" si="0"/>
        <v>3349.0007046899032</v>
      </c>
      <c r="F39">
        <f t="shared" si="1"/>
        <v>3349</v>
      </c>
      <c r="G39">
        <f t="shared" si="4"/>
        <v>6.6488999436842278E-4</v>
      </c>
      <c r="J39">
        <f>+G39</f>
        <v>6.6488999436842278E-4</v>
      </c>
      <c r="O39">
        <f t="shared" ca="1" si="2"/>
        <v>-1.1511280017675657E-4</v>
      </c>
      <c r="Q39" s="2">
        <f t="shared" si="3"/>
        <v>40642.114999999998</v>
      </c>
      <c r="R39" t="s">
        <v>51</v>
      </c>
    </row>
    <row r="40" spans="1:21" x14ac:dyDescent="0.2">
      <c r="A40" s="36" t="s">
        <v>44</v>
      </c>
      <c r="B40" s="37" t="s">
        <v>30</v>
      </c>
      <c r="C40" s="36">
        <v>55689.3891</v>
      </c>
      <c r="D40" s="36">
        <v>2E-3</v>
      </c>
      <c r="E40">
        <f t="shared" si="0"/>
        <v>3379.4972046155726</v>
      </c>
      <c r="F40">
        <f t="shared" si="1"/>
        <v>3379.5</v>
      </c>
      <c r="G40">
        <f t="shared" si="4"/>
        <v>-2.6375050001661293E-3</v>
      </c>
      <c r="J40">
        <v>-2.6375050001661293E-3</v>
      </c>
      <c r="O40">
        <f t="shared" ca="1" si="2"/>
        <v>-1.3682028386791112E-4</v>
      </c>
      <c r="Q40" s="2">
        <f t="shared" si="3"/>
        <v>40670.8891</v>
      </c>
      <c r="R40" t="s">
        <v>51</v>
      </c>
    </row>
    <row r="41" spans="1:21" x14ac:dyDescent="0.2">
      <c r="A41" s="54" t="s">
        <v>46</v>
      </c>
      <c r="B41" s="53"/>
      <c r="C41" s="54">
        <v>57143.827899999997</v>
      </c>
      <c r="D41" s="54">
        <v>5.0000000000000001E-4</v>
      </c>
      <c r="E41">
        <f t="shared" si="0"/>
        <v>4920.9978164882896</v>
      </c>
      <c r="F41">
        <f t="shared" si="1"/>
        <v>4921</v>
      </c>
      <c r="G41">
        <f t="shared" si="4"/>
        <v>-2.0601900032488629E-3</v>
      </c>
      <c r="J41">
        <f>+G41</f>
        <v>-2.0601900032488629E-3</v>
      </c>
      <c r="O41">
        <f t="shared" ca="1" si="2"/>
        <v>-1.2339378612421623E-3</v>
      </c>
      <c r="Q41" s="2">
        <f t="shared" si="3"/>
        <v>42125.327899999997</v>
      </c>
      <c r="R41" t="s">
        <v>51</v>
      </c>
    </row>
    <row r="42" spans="1:21" x14ac:dyDescent="0.2">
      <c r="A42" s="34" t="s">
        <v>39</v>
      </c>
      <c r="B42" s="35" t="s">
        <v>30</v>
      </c>
      <c r="C42" s="34">
        <v>51295.891000000003</v>
      </c>
      <c r="D42" s="34">
        <v>2E-3</v>
      </c>
      <c r="E42">
        <f t="shared" si="0"/>
        <v>-1276.9929889983707</v>
      </c>
      <c r="F42">
        <f t="shared" si="1"/>
        <v>-1277</v>
      </c>
      <c r="G42">
        <f t="shared" si="4"/>
        <v>6.6150300044682808E-3</v>
      </c>
      <c r="I42">
        <f>+G42</f>
        <v>6.6150300044682808E-3</v>
      </c>
      <c r="O42">
        <f t="shared" ca="1" si="2"/>
        <v>3.1773075131111364E-3</v>
      </c>
      <c r="Q42" s="2">
        <f t="shared" si="3"/>
        <v>36277.391000000003</v>
      </c>
      <c r="R42" t="s">
        <v>57</v>
      </c>
    </row>
    <row r="43" spans="1:21" x14ac:dyDescent="0.2">
      <c r="A43" s="34" t="s">
        <v>39</v>
      </c>
      <c r="B43" s="35" t="s">
        <v>38</v>
      </c>
      <c r="C43" s="34">
        <v>51322.770600000003</v>
      </c>
      <c r="D43" s="34">
        <v>1.1999999999999999E-3</v>
      </c>
      <c r="E43">
        <f t="shared" si="0"/>
        <v>-1248.5043926773058</v>
      </c>
      <c r="F43">
        <f t="shared" si="1"/>
        <v>-1248.5</v>
      </c>
      <c r="G43">
        <f t="shared" si="4"/>
        <v>-4.1445850001764484E-3</v>
      </c>
      <c r="I43">
        <f>+G43</f>
        <v>-4.1445850001764484E-3</v>
      </c>
      <c r="O43">
        <f t="shared" ca="1" si="2"/>
        <v>3.1570234709735003E-3</v>
      </c>
      <c r="Q43" s="2">
        <f t="shared" si="3"/>
        <v>36304.270600000003</v>
      </c>
      <c r="R43" t="s">
        <v>57</v>
      </c>
    </row>
    <row r="44" spans="1:21" ht="12" customHeight="1" x14ac:dyDescent="0.2">
      <c r="A44" s="33" t="s">
        <v>42</v>
      </c>
      <c r="B44" s="30" t="s">
        <v>30</v>
      </c>
      <c r="C44" s="31">
        <v>55312.456680000003</v>
      </c>
      <c r="D44" s="31">
        <v>1E-4</v>
      </c>
      <c r="E44">
        <f t="shared" si="0"/>
        <v>2980.0018418236414</v>
      </c>
      <c r="F44">
        <f t="shared" si="1"/>
        <v>2980</v>
      </c>
      <c r="G44">
        <f t="shared" si="4"/>
        <v>1.7378000047756359E-3</v>
      </c>
      <c r="K44">
        <f>+G44</f>
        <v>1.7378000047756359E-3</v>
      </c>
      <c r="O44">
        <f t="shared" ca="1" si="2"/>
        <v>1.4751216644737523E-4</v>
      </c>
      <c r="Q44" s="2">
        <f t="shared" si="3"/>
        <v>40293.956680000003</v>
      </c>
      <c r="R44" t="s">
        <v>140</v>
      </c>
    </row>
    <row r="45" spans="1:21" ht="12" customHeight="1" x14ac:dyDescent="0.2">
      <c r="A45" s="33" t="s">
        <v>42</v>
      </c>
      <c r="B45" s="30" t="s">
        <v>38</v>
      </c>
      <c r="C45" s="31">
        <v>55353.499349999998</v>
      </c>
      <c r="D45" s="31">
        <v>2.0000000000000001E-4</v>
      </c>
      <c r="E45">
        <f t="shared" si="0"/>
        <v>3023.5013008025153</v>
      </c>
      <c r="F45">
        <f t="shared" si="1"/>
        <v>3023.5</v>
      </c>
      <c r="G45">
        <f t="shared" si="4"/>
        <v>1.2273350002942607E-3</v>
      </c>
      <c r="K45">
        <f>+G45</f>
        <v>1.2273350002942607E-3</v>
      </c>
      <c r="O45">
        <f t="shared" ca="1" si="2"/>
        <v>1.1655231265835127E-4</v>
      </c>
      <c r="Q45" s="2">
        <f t="shared" si="3"/>
        <v>40334.999349999998</v>
      </c>
      <c r="R45" t="s">
        <v>140</v>
      </c>
    </row>
    <row r="46" spans="1:21" ht="12" customHeight="1" x14ac:dyDescent="0.2">
      <c r="A46" s="59" t="s">
        <v>141</v>
      </c>
      <c r="B46" s="60" t="s">
        <v>30</v>
      </c>
      <c r="C46" s="61">
        <v>59772.472300000001</v>
      </c>
      <c r="D46" s="59">
        <v>2.9999999999999997E-4</v>
      </c>
      <c r="E46">
        <f t="shared" ref="E46" si="6">+(C46-C$7)/C$8</f>
        <v>7706.9912532666594</v>
      </c>
      <c r="F46">
        <f t="shared" ref="F46" si="7">ROUND(2*E46,0)/2</f>
        <v>7707</v>
      </c>
      <c r="G46">
        <f t="shared" ref="G46" si="8">+C46-(C$7+F46*C$8)</f>
        <v>-8.2527300037327223E-3</v>
      </c>
      <c r="K46">
        <f>+G46</f>
        <v>-8.2527300037327223E-3</v>
      </c>
      <c r="O46">
        <f t="shared" ref="O46" ca="1" si="9">+C$11+C$12*$F46</f>
        <v>-3.2167919452931932E-3</v>
      </c>
      <c r="Q46" s="2">
        <f t="shared" ref="Q46" si="10">+C46-15018.5</f>
        <v>44753.972300000001</v>
      </c>
    </row>
    <row r="47" spans="1:21" ht="12" customHeight="1" x14ac:dyDescent="0.2">
      <c r="C47" s="10"/>
      <c r="D47" s="10"/>
    </row>
    <row r="48" spans="1:21" ht="12" customHeight="1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5"/>
  <sheetViews>
    <sheetView topLeftCell="A6" workbookViewId="0">
      <selection activeCell="A25" sqref="A25:D2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47</v>
      </c>
      <c r="I1" s="39" t="s">
        <v>48</v>
      </c>
      <c r="J1" s="40" t="s">
        <v>49</v>
      </c>
    </row>
    <row r="2" spans="1:16" x14ac:dyDescent="0.2">
      <c r="I2" s="41" t="s">
        <v>50</v>
      </c>
      <c r="J2" s="42" t="s">
        <v>51</v>
      </c>
    </row>
    <row r="3" spans="1:16" x14ac:dyDescent="0.2">
      <c r="A3" s="43" t="s">
        <v>52</v>
      </c>
      <c r="I3" s="41" t="s">
        <v>53</v>
      </c>
      <c r="J3" s="42" t="s">
        <v>54</v>
      </c>
    </row>
    <row r="4" spans="1:16" x14ac:dyDescent="0.2">
      <c r="I4" s="41" t="s">
        <v>55</v>
      </c>
      <c r="J4" s="42" t="s">
        <v>54</v>
      </c>
    </row>
    <row r="5" spans="1:16" ht="13.5" thickBot="1" x14ac:dyDescent="0.25">
      <c r="I5" s="44" t="s">
        <v>56</v>
      </c>
      <c r="J5" s="45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29" si="0">P11</f>
        <v>BAVM 178 </v>
      </c>
      <c r="B11" s="3" t="str">
        <f t="shared" ref="B11:B29" si="1">IF(H11=INT(H11),"I","II")</f>
        <v>I</v>
      </c>
      <c r="C11" s="10">
        <f t="shared" ref="C11:C29" si="2">1*G11</f>
        <v>53524.482799999998</v>
      </c>
      <c r="D11" s="12" t="str">
        <f t="shared" ref="D11:D29" si="3">VLOOKUP(F11,I$1:J$5,2,FALSE)</f>
        <v>vis</v>
      </c>
      <c r="E11" s="46">
        <f>VLOOKUP(C11,Active!C$21:E$967,3,FALSE)</f>
        <v>1085.0009452355894</v>
      </c>
      <c r="F11" s="3" t="s">
        <v>56</v>
      </c>
      <c r="G11" s="12" t="str">
        <f t="shared" ref="G11:G29" si="4">MID(I11,3,LEN(I11)-3)</f>
        <v>53524.4828</v>
      </c>
      <c r="H11" s="10">
        <f t="shared" ref="H11:H29" si="5">1*K11</f>
        <v>1085</v>
      </c>
      <c r="I11" s="47" t="s">
        <v>58</v>
      </c>
      <c r="J11" s="48" t="s">
        <v>59</v>
      </c>
      <c r="K11" s="47">
        <v>1085</v>
      </c>
      <c r="L11" s="47" t="s">
        <v>60</v>
      </c>
      <c r="M11" s="48" t="s">
        <v>61</v>
      </c>
      <c r="N11" s="48" t="s">
        <v>62</v>
      </c>
      <c r="O11" s="49" t="s">
        <v>63</v>
      </c>
      <c r="P11" s="50" t="s">
        <v>64</v>
      </c>
    </row>
    <row r="12" spans="1:16" ht="12.75" customHeight="1" thickBot="1" x14ac:dyDescent="0.25">
      <c r="A12" s="10" t="str">
        <f t="shared" si="0"/>
        <v>BAVM 241 (=IBVS 6157) </v>
      </c>
      <c r="B12" s="3" t="str">
        <f t="shared" si="1"/>
        <v>I</v>
      </c>
      <c r="C12" s="10">
        <f t="shared" si="2"/>
        <v>57143.827899999997</v>
      </c>
      <c r="D12" s="12" t="str">
        <f t="shared" si="3"/>
        <v>vis</v>
      </c>
      <c r="E12" s="46">
        <f>VLOOKUP(C12,Active!C$21:E$967,3,FALSE)</f>
        <v>4920.9978164882896</v>
      </c>
      <c r="F12" s="3" t="s">
        <v>56</v>
      </c>
      <c r="G12" s="12" t="str">
        <f t="shared" si="4"/>
        <v>57143.8279</v>
      </c>
      <c r="H12" s="10">
        <f t="shared" si="5"/>
        <v>4921</v>
      </c>
      <c r="I12" s="47" t="s">
        <v>129</v>
      </c>
      <c r="J12" s="48" t="s">
        <v>130</v>
      </c>
      <c r="K12" s="47">
        <v>4921</v>
      </c>
      <c r="L12" s="47" t="s">
        <v>131</v>
      </c>
      <c r="M12" s="48" t="s">
        <v>61</v>
      </c>
      <c r="N12" s="48" t="s">
        <v>56</v>
      </c>
      <c r="O12" s="49" t="s">
        <v>132</v>
      </c>
      <c r="P12" s="50" t="s">
        <v>133</v>
      </c>
    </row>
    <row r="13" spans="1:16" ht="12.75" customHeight="1" thickBot="1" x14ac:dyDescent="0.25">
      <c r="A13" s="10" t="str">
        <f t="shared" si="0"/>
        <v>BAVM 186 </v>
      </c>
      <c r="B13" s="3" t="str">
        <f t="shared" si="1"/>
        <v>II</v>
      </c>
      <c r="C13" s="10">
        <f t="shared" si="2"/>
        <v>54219.389499999997</v>
      </c>
      <c r="D13" s="12" t="str">
        <f t="shared" si="3"/>
        <v>vis</v>
      </c>
      <c r="E13" s="46">
        <f>VLOOKUP(C13,Active!C$21:E$967,3,FALSE)</f>
        <v>1821.5043328270456</v>
      </c>
      <c r="F13" s="3" t="s">
        <v>56</v>
      </c>
      <c r="G13" s="12" t="str">
        <f t="shared" si="4"/>
        <v>54219.3895</v>
      </c>
      <c r="H13" s="10">
        <f t="shared" si="5"/>
        <v>1821.5</v>
      </c>
      <c r="I13" s="47" t="s">
        <v>65</v>
      </c>
      <c r="J13" s="48" t="s">
        <v>66</v>
      </c>
      <c r="K13" s="47" t="s">
        <v>67</v>
      </c>
      <c r="L13" s="47" t="s">
        <v>68</v>
      </c>
      <c r="M13" s="48" t="s">
        <v>61</v>
      </c>
      <c r="N13" s="48" t="s">
        <v>62</v>
      </c>
      <c r="O13" s="49" t="s">
        <v>63</v>
      </c>
      <c r="P13" s="50" t="s">
        <v>69</v>
      </c>
    </row>
    <row r="14" spans="1:16" ht="12.75" customHeight="1" thickBot="1" x14ac:dyDescent="0.25">
      <c r="A14" s="10" t="str">
        <f t="shared" si="0"/>
        <v>BAVM 220 </v>
      </c>
      <c r="B14" s="3" t="str">
        <f t="shared" si="1"/>
        <v>I</v>
      </c>
      <c r="C14" s="10">
        <f t="shared" si="2"/>
        <v>55660.614999999998</v>
      </c>
      <c r="D14" s="12" t="str">
        <f t="shared" si="3"/>
        <v>vis</v>
      </c>
      <c r="E14" s="46">
        <f>VLOOKUP(C14,Active!C$21:E$967,3,FALSE)</f>
        <v>3349.0007046899032</v>
      </c>
      <c r="F14" s="3" t="s">
        <v>56</v>
      </c>
      <c r="G14" s="12" t="str">
        <f t="shared" si="4"/>
        <v>55660.6150</v>
      </c>
      <c r="H14" s="10">
        <f t="shared" si="5"/>
        <v>3349</v>
      </c>
      <c r="I14" s="47" t="s">
        <v>90</v>
      </c>
      <c r="J14" s="48" t="s">
        <v>91</v>
      </c>
      <c r="K14" s="47" t="s">
        <v>92</v>
      </c>
      <c r="L14" s="47" t="s">
        <v>93</v>
      </c>
      <c r="M14" s="48" t="s">
        <v>61</v>
      </c>
      <c r="N14" s="48">
        <v>0</v>
      </c>
      <c r="O14" s="49" t="s">
        <v>63</v>
      </c>
      <c r="P14" s="50" t="s">
        <v>94</v>
      </c>
    </row>
    <row r="15" spans="1:16" ht="12.75" customHeight="1" thickBot="1" x14ac:dyDescent="0.25">
      <c r="A15" s="10" t="str">
        <f t="shared" si="0"/>
        <v>BAVM 220 </v>
      </c>
      <c r="B15" s="3" t="str">
        <f t="shared" si="1"/>
        <v>II</v>
      </c>
      <c r="C15" s="10">
        <f t="shared" si="2"/>
        <v>55689.3891</v>
      </c>
      <c r="D15" s="12" t="str">
        <f t="shared" si="3"/>
        <v>vis</v>
      </c>
      <c r="E15" s="46">
        <f>VLOOKUP(C15,Active!C$21:E$967,3,FALSE)</f>
        <v>3379.4972046155726</v>
      </c>
      <c r="F15" s="3" t="s">
        <v>56</v>
      </c>
      <c r="G15" s="12" t="str">
        <f t="shared" si="4"/>
        <v>55689.3891</v>
      </c>
      <c r="H15" s="10">
        <f t="shared" si="5"/>
        <v>3379.5</v>
      </c>
      <c r="I15" s="47" t="s">
        <v>95</v>
      </c>
      <c r="J15" s="48" t="s">
        <v>96</v>
      </c>
      <c r="K15" s="47">
        <v>3379.5</v>
      </c>
      <c r="L15" s="47" t="s">
        <v>97</v>
      </c>
      <c r="M15" s="48" t="s">
        <v>61</v>
      </c>
      <c r="N15" s="48">
        <v>0</v>
      </c>
      <c r="O15" s="49" t="s">
        <v>63</v>
      </c>
      <c r="P15" s="50" t="s">
        <v>94</v>
      </c>
    </row>
    <row r="16" spans="1:16" ht="12.75" customHeight="1" thickBot="1" x14ac:dyDescent="0.25">
      <c r="A16" s="10" t="str">
        <f t="shared" si="0"/>
        <v>IBVS 5992 </v>
      </c>
      <c r="B16" s="3" t="str">
        <f t="shared" si="1"/>
        <v>II</v>
      </c>
      <c r="C16" s="10">
        <f t="shared" si="2"/>
        <v>55727.898200000003</v>
      </c>
      <c r="D16" s="12" t="str">
        <f t="shared" si="3"/>
        <v>vis</v>
      </c>
      <c r="E16" s="46">
        <f>VLOOKUP(C16,Active!C$21:E$967,3,FALSE)</f>
        <v>3420.3114356527758</v>
      </c>
      <c r="F16" s="3" t="s">
        <v>56</v>
      </c>
      <c r="G16" s="12" t="str">
        <f t="shared" si="4"/>
        <v>55727.8982</v>
      </c>
      <c r="H16" s="10">
        <f t="shared" si="5"/>
        <v>3420.5</v>
      </c>
      <c r="I16" s="47" t="s">
        <v>98</v>
      </c>
      <c r="J16" s="48" t="s">
        <v>99</v>
      </c>
      <c r="K16" s="47">
        <v>3420.5</v>
      </c>
      <c r="L16" s="47" t="s">
        <v>100</v>
      </c>
      <c r="M16" s="48" t="s">
        <v>61</v>
      </c>
      <c r="N16" s="48" t="s">
        <v>56</v>
      </c>
      <c r="O16" s="49" t="s">
        <v>101</v>
      </c>
      <c r="P16" s="50" t="s">
        <v>102</v>
      </c>
    </row>
    <row r="17" spans="1:16" ht="12.75" customHeight="1" thickBot="1" x14ac:dyDescent="0.25">
      <c r="A17" s="10" t="str">
        <f t="shared" si="0"/>
        <v>OEJV 0160 </v>
      </c>
      <c r="B17" s="3" t="str">
        <f t="shared" si="1"/>
        <v>I</v>
      </c>
      <c r="C17" s="10">
        <f t="shared" si="2"/>
        <v>56013.491869999998</v>
      </c>
      <c r="D17" s="12" t="str">
        <f t="shared" si="3"/>
        <v>vis</v>
      </c>
      <c r="E17" s="46">
        <f>VLOOKUP(C17,Active!C$21:E$967,3,FALSE)</f>
        <v>3723.0005670565638</v>
      </c>
      <c r="F17" s="3" t="s">
        <v>56</v>
      </c>
      <c r="G17" s="12" t="str">
        <f t="shared" si="4"/>
        <v>56013.49187</v>
      </c>
      <c r="H17" s="10">
        <f t="shared" si="5"/>
        <v>3723</v>
      </c>
      <c r="I17" s="47" t="s">
        <v>103</v>
      </c>
      <c r="J17" s="48" t="s">
        <v>104</v>
      </c>
      <c r="K17" s="47">
        <v>3723</v>
      </c>
      <c r="L17" s="47" t="s">
        <v>105</v>
      </c>
      <c r="M17" s="48" t="s">
        <v>61</v>
      </c>
      <c r="N17" s="48" t="s">
        <v>74</v>
      </c>
      <c r="O17" s="49" t="s">
        <v>106</v>
      </c>
      <c r="P17" s="50" t="s">
        <v>107</v>
      </c>
    </row>
    <row r="18" spans="1:16" ht="12.75" customHeight="1" thickBot="1" x14ac:dyDescent="0.25">
      <c r="A18" s="10" t="str">
        <f t="shared" si="0"/>
        <v>OEJV 0160 </v>
      </c>
      <c r="B18" s="3" t="str">
        <f t="shared" si="1"/>
        <v>I</v>
      </c>
      <c r="C18" s="10">
        <f t="shared" si="2"/>
        <v>56013.492570000002</v>
      </c>
      <c r="D18" s="12" t="str">
        <f t="shared" si="3"/>
        <v>vis</v>
      </c>
      <c r="E18" s="46">
        <f>VLOOKUP(C18,Active!C$21:E$967,3,FALSE)</f>
        <v>3723.0013089581375</v>
      </c>
      <c r="F18" s="3" t="s">
        <v>56</v>
      </c>
      <c r="G18" s="12" t="str">
        <f t="shared" si="4"/>
        <v>56013.49257</v>
      </c>
      <c r="H18" s="10">
        <f t="shared" si="5"/>
        <v>3723</v>
      </c>
      <c r="I18" s="47" t="s">
        <v>108</v>
      </c>
      <c r="J18" s="48" t="s">
        <v>109</v>
      </c>
      <c r="K18" s="47">
        <v>3723</v>
      </c>
      <c r="L18" s="47" t="s">
        <v>110</v>
      </c>
      <c r="M18" s="48" t="s">
        <v>61</v>
      </c>
      <c r="N18" s="48" t="s">
        <v>30</v>
      </c>
      <c r="O18" s="49" t="s">
        <v>106</v>
      </c>
      <c r="P18" s="50" t="s">
        <v>107</v>
      </c>
    </row>
    <row r="19" spans="1:16" ht="12.75" customHeight="1" thickBot="1" x14ac:dyDescent="0.25">
      <c r="A19" s="10" t="str">
        <f t="shared" si="0"/>
        <v>OEJV 0160 </v>
      </c>
      <c r="B19" s="3" t="str">
        <f t="shared" si="1"/>
        <v>I</v>
      </c>
      <c r="C19" s="10">
        <f t="shared" si="2"/>
        <v>56065.383220000003</v>
      </c>
      <c r="D19" s="12" t="str">
        <f t="shared" si="3"/>
        <v>vis</v>
      </c>
      <c r="E19" s="46">
        <f>VLOOKUP(C19,Active!C$21:E$967,3,FALSE)</f>
        <v>3777.9981013467036</v>
      </c>
      <c r="F19" s="3" t="s">
        <v>56</v>
      </c>
      <c r="G19" s="12" t="str">
        <f t="shared" si="4"/>
        <v>56065.38322</v>
      </c>
      <c r="H19" s="10">
        <f t="shared" si="5"/>
        <v>3778</v>
      </c>
      <c r="I19" s="47" t="s">
        <v>111</v>
      </c>
      <c r="J19" s="48" t="s">
        <v>112</v>
      </c>
      <c r="K19" s="47">
        <v>3778</v>
      </c>
      <c r="L19" s="47" t="s">
        <v>113</v>
      </c>
      <c r="M19" s="48" t="s">
        <v>61</v>
      </c>
      <c r="N19" s="48" t="s">
        <v>74</v>
      </c>
      <c r="O19" s="49" t="s">
        <v>106</v>
      </c>
      <c r="P19" s="50" t="s">
        <v>107</v>
      </c>
    </row>
    <row r="20" spans="1:16" ht="12.75" customHeight="1" thickBot="1" x14ac:dyDescent="0.25">
      <c r="A20" s="10" t="str">
        <f t="shared" si="0"/>
        <v>OEJV 0160 </v>
      </c>
      <c r="B20" s="3" t="str">
        <f t="shared" si="1"/>
        <v>I</v>
      </c>
      <c r="C20" s="10">
        <f t="shared" si="2"/>
        <v>56065.384019999998</v>
      </c>
      <c r="D20" s="12" t="str">
        <f t="shared" si="3"/>
        <v>vis</v>
      </c>
      <c r="E20" s="46">
        <f>VLOOKUP(C20,Active!C$21:E$967,3,FALSE)</f>
        <v>3777.9989492342052</v>
      </c>
      <c r="F20" s="3" t="s">
        <v>56</v>
      </c>
      <c r="G20" s="12" t="str">
        <f t="shared" si="4"/>
        <v>56065.38402</v>
      </c>
      <c r="H20" s="10">
        <f t="shared" si="5"/>
        <v>3778</v>
      </c>
      <c r="I20" s="47" t="s">
        <v>114</v>
      </c>
      <c r="J20" s="48" t="s">
        <v>115</v>
      </c>
      <c r="K20" s="47">
        <v>3778</v>
      </c>
      <c r="L20" s="47" t="s">
        <v>116</v>
      </c>
      <c r="M20" s="48" t="s">
        <v>61</v>
      </c>
      <c r="N20" s="48" t="s">
        <v>30</v>
      </c>
      <c r="O20" s="49" t="s">
        <v>106</v>
      </c>
      <c r="P20" s="50" t="s">
        <v>107</v>
      </c>
    </row>
    <row r="21" spans="1:16" ht="12.75" customHeight="1" thickBot="1" x14ac:dyDescent="0.25">
      <c r="A21" s="10" t="str">
        <f t="shared" si="0"/>
        <v>OEJV 0160 </v>
      </c>
      <c r="B21" s="3" t="str">
        <f t="shared" si="1"/>
        <v>I</v>
      </c>
      <c r="C21" s="10">
        <f t="shared" si="2"/>
        <v>56065.384819999999</v>
      </c>
      <c r="D21" s="12" t="str">
        <f t="shared" si="3"/>
        <v>vis</v>
      </c>
      <c r="E21" s="46">
        <f>VLOOKUP(C21,Active!C$21:E$967,3,FALSE)</f>
        <v>3777.9997971217149</v>
      </c>
      <c r="F21" s="3" t="s">
        <v>56</v>
      </c>
      <c r="G21" s="12" t="str">
        <f t="shared" si="4"/>
        <v>56065.38482</v>
      </c>
      <c r="H21" s="10">
        <f t="shared" si="5"/>
        <v>3778</v>
      </c>
      <c r="I21" s="47" t="s">
        <v>117</v>
      </c>
      <c r="J21" s="48" t="s">
        <v>118</v>
      </c>
      <c r="K21" s="47">
        <v>3778</v>
      </c>
      <c r="L21" s="47" t="s">
        <v>119</v>
      </c>
      <c r="M21" s="48" t="s">
        <v>61</v>
      </c>
      <c r="N21" s="48" t="s">
        <v>56</v>
      </c>
      <c r="O21" s="49" t="s">
        <v>106</v>
      </c>
      <c r="P21" s="50" t="s">
        <v>107</v>
      </c>
    </row>
    <row r="22" spans="1:16" ht="12.75" customHeight="1" thickBot="1" x14ac:dyDescent="0.25">
      <c r="A22" s="10" t="str">
        <f t="shared" si="0"/>
        <v>OEJV 0160 </v>
      </c>
      <c r="B22" s="3" t="str">
        <f t="shared" si="1"/>
        <v>I</v>
      </c>
      <c r="C22" s="10">
        <f t="shared" si="2"/>
        <v>56131.431380000002</v>
      </c>
      <c r="D22" s="12" t="str">
        <f t="shared" si="3"/>
        <v>vis</v>
      </c>
      <c r="E22" s="46">
        <f>VLOOKUP(C22,Active!C$21:E$967,3,FALSE)</f>
        <v>3847.9998635749012</v>
      </c>
      <c r="F22" s="3" t="s">
        <v>56</v>
      </c>
      <c r="G22" s="12" t="str">
        <f t="shared" si="4"/>
        <v>56131.43138</v>
      </c>
      <c r="H22" s="10">
        <f t="shared" si="5"/>
        <v>3848</v>
      </c>
      <c r="I22" s="47" t="s">
        <v>120</v>
      </c>
      <c r="J22" s="48" t="s">
        <v>121</v>
      </c>
      <c r="K22" s="47">
        <v>3848</v>
      </c>
      <c r="L22" s="47" t="s">
        <v>122</v>
      </c>
      <c r="M22" s="48" t="s">
        <v>61</v>
      </c>
      <c r="N22" s="48" t="s">
        <v>48</v>
      </c>
      <c r="O22" s="49" t="s">
        <v>106</v>
      </c>
      <c r="P22" s="50" t="s">
        <v>107</v>
      </c>
    </row>
    <row r="23" spans="1:16" ht="12.75" customHeight="1" thickBot="1" x14ac:dyDescent="0.25">
      <c r="A23" s="10" t="str">
        <f t="shared" si="0"/>
        <v>OEJV 0160 </v>
      </c>
      <c r="B23" s="3" t="str">
        <f t="shared" si="1"/>
        <v>I</v>
      </c>
      <c r="C23" s="10">
        <f t="shared" si="2"/>
        <v>56397.504919999999</v>
      </c>
      <c r="D23" s="12" t="str">
        <f t="shared" si="3"/>
        <v>vis</v>
      </c>
      <c r="E23" s="46">
        <f>VLOOKUP(C23,Active!C$21:E$967,3,FALSE)</f>
        <v>4130.0004020046626</v>
      </c>
      <c r="F23" s="3" t="s">
        <v>56</v>
      </c>
      <c r="G23" s="12" t="str">
        <f t="shared" si="4"/>
        <v>56397.50492</v>
      </c>
      <c r="H23" s="10">
        <f t="shared" si="5"/>
        <v>4130</v>
      </c>
      <c r="I23" s="47" t="s">
        <v>123</v>
      </c>
      <c r="J23" s="48" t="s">
        <v>124</v>
      </c>
      <c r="K23" s="47">
        <v>4130</v>
      </c>
      <c r="L23" s="47" t="s">
        <v>125</v>
      </c>
      <c r="M23" s="48" t="s">
        <v>61</v>
      </c>
      <c r="N23" s="48" t="s">
        <v>74</v>
      </c>
      <c r="O23" s="49" t="s">
        <v>106</v>
      </c>
      <c r="P23" s="50" t="s">
        <v>107</v>
      </c>
    </row>
    <row r="24" spans="1:16" ht="12.75" customHeight="1" thickBot="1" x14ac:dyDescent="0.25">
      <c r="A24" s="10" t="str">
        <f t="shared" si="0"/>
        <v>OEJV 0160 </v>
      </c>
      <c r="B24" s="3" t="str">
        <f t="shared" si="1"/>
        <v>I</v>
      </c>
      <c r="C24" s="10">
        <f t="shared" si="2"/>
        <v>56397.505969999998</v>
      </c>
      <c r="D24" s="12" t="str">
        <f t="shared" si="3"/>
        <v>vis</v>
      </c>
      <c r="E24" s="46">
        <f>VLOOKUP(C24,Active!C$21:E$967,3,FALSE)</f>
        <v>4130.0015148570164</v>
      </c>
      <c r="F24" s="3" t="s">
        <v>56</v>
      </c>
      <c r="G24" s="12" t="str">
        <f t="shared" si="4"/>
        <v>56397.50597</v>
      </c>
      <c r="H24" s="10">
        <f t="shared" si="5"/>
        <v>4130</v>
      </c>
      <c r="I24" s="47" t="s">
        <v>126</v>
      </c>
      <c r="J24" s="48" t="s">
        <v>127</v>
      </c>
      <c r="K24" s="47">
        <v>4130</v>
      </c>
      <c r="L24" s="47" t="s">
        <v>128</v>
      </c>
      <c r="M24" s="48" t="s">
        <v>61</v>
      </c>
      <c r="N24" s="48" t="s">
        <v>30</v>
      </c>
      <c r="O24" s="49" t="s">
        <v>106</v>
      </c>
      <c r="P24" s="50" t="s">
        <v>107</v>
      </c>
    </row>
    <row r="25" spans="1:16" ht="12.75" customHeight="1" thickBot="1" x14ac:dyDescent="0.25">
      <c r="A25" s="10" t="str">
        <f t="shared" si="0"/>
        <v>OEJV 0107 </v>
      </c>
      <c r="B25" s="3" t="str">
        <f t="shared" si="1"/>
        <v>II</v>
      </c>
      <c r="C25" s="10">
        <f t="shared" si="2"/>
        <v>54935.518900000003</v>
      </c>
      <c r="D25" s="12" t="str">
        <f t="shared" si="3"/>
        <v>vis</v>
      </c>
      <c r="E25" s="46" t="e">
        <f>VLOOKUP(C25,Active!C$21:E$967,3,FALSE)</f>
        <v>#N/A</v>
      </c>
      <c r="F25" s="3" t="s">
        <v>56</v>
      </c>
      <c r="G25" s="12" t="str">
        <f t="shared" si="4"/>
        <v>54935.5189</v>
      </c>
      <c r="H25" s="10">
        <f t="shared" si="5"/>
        <v>2580.5</v>
      </c>
      <c r="I25" s="47" t="s">
        <v>70</v>
      </c>
      <c r="J25" s="48" t="s">
        <v>71</v>
      </c>
      <c r="K25" s="47" t="s">
        <v>72</v>
      </c>
      <c r="L25" s="47" t="s">
        <v>73</v>
      </c>
      <c r="M25" s="48" t="s">
        <v>61</v>
      </c>
      <c r="N25" s="48" t="s">
        <v>74</v>
      </c>
      <c r="O25" s="49" t="s">
        <v>75</v>
      </c>
      <c r="P25" s="50" t="s">
        <v>76</v>
      </c>
    </row>
    <row r="26" spans="1:16" ht="12.75" customHeight="1" thickBot="1" x14ac:dyDescent="0.25">
      <c r="A26" s="10" t="str">
        <f t="shared" si="0"/>
        <v>OEJV 0107 </v>
      </c>
      <c r="B26" s="3" t="str">
        <f t="shared" si="1"/>
        <v>II</v>
      </c>
      <c r="C26" s="10">
        <f t="shared" si="2"/>
        <v>54935.518900000003</v>
      </c>
      <c r="D26" s="12" t="str">
        <f t="shared" si="3"/>
        <v>vis</v>
      </c>
      <c r="E26" s="46" t="e">
        <f>VLOOKUP(C26,Active!C$21:E$967,3,FALSE)</f>
        <v>#N/A</v>
      </c>
      <c r="F26" s="3" t="s">
        <v>56</v>
      </c>
      <c r="G26" s="12" t="str">
        <f t="shared" si="4"/>
        <v>54935.5189</v>
      </c>
      <c r="H26" s="10">
        <f t="shared" si="5"/>
        <v>2580.5</v>
      </c>
      <c r="I26" s="47" t="s">
        <v>70</v>
      </c>
      <c r="J26" s="48" t="s">
        <v>71</v>
      </c>
      <c r="K26" s="47" t="s">
        <v>72</v>
      </c>
      <c r="L26" s="47" t="s">
        <v>73</v>
      </c>
      <c r="M26" s="48" t="s">
        <v>61</v>
      </c>
      <c r="N26" s="48" t="s">
        <v>30</v>
      </c>
      <c r="O26" s="49" t="s">
        <v>75</v>
      </c>
      <c r="P26" s="50" t="s">
        <v>76</v>
      </c>
    </row>
    <row r="27" spans="1:16" ht="12.75" customHeight="1" thickBot="1" x14ac:dyDescent="0.25">
      <c r="A27" s="10" t="str">
        <f t="shared" si="0"/>
        <v>OEJV 0107 </v>
      </c>
      <c r="B27" s="3" t="str">
        <f t="shared" si="1"/>
        <v>II</v>
      </c>
      <c r="C27" s="10">
        <f t="shared" si="2"/>
        <v>54935.520199999999</v>
      </c>
      <c r="D27" s="12" t="str">
        <f t="shared" si="3"/>
        <v>vis</v>
      </c>
      <c r="E27" s="46" t="e">
        <f>VLOOKUP(C27,Active!C$21:E$967,3,FALSE)</f>
        <v>#N/A</v>
      </c>
      <c r="F27" s="3" t="s">
        <v>56</v>
      </c>
      <c r="G27" s="12" t="str">
        <f t="shared" si="4"/>
        <v>54935.5202</v>
      </c>
      <c r="H27" s="10">
        <f t="shared" si="5"/>
        <v>2580.5</v>
      </c>
      <c r="I27" s="47" t="s">
        <v>77</v>
      </c>
      <c r="J27" s="48" t="s">
        <v>78</v>
      </c>
      <c r="K27" s="47" t="s">
        <v>72</v>
      </c>
      <c r="L27" s="47" t="s">
        <v>79</v>
      </c>
      <c r="M27" s="48" t="s">
        <v>61</v>
      </c>
      <c r="N27" s="48" t="s">
        <v>56</v>
      </c>
      <c r="O27" s="49" t="s">
        <v>75</v>
      </c>
      <c r="P27" s="50" t="s">
        <v>76</v>
      </c>
    </row>
    <row r="28" spans="1:16" ht="12.75" customHeight="1" thickBot="1" x14ac:dyDescent="0.25">
      <c r="A28" s="10" t="str">
        <f t="shared" si="0"/>
        <v>OEJV 0137 </v>
      </c>
      <c r="B28" s="3" t="str">
        <f t="shared" si="1"/>
        <v>I</v>
      </c>
      <c r="C28" s="10">
        <f t="shared" si="2"/>
        <v>55312.456599999998</v>
      </c>
      <c r="D28" s="12" t="str">
        <f t="shared" si="3"/>
        <v>vis</v>
      </c>
      <c r="E28" s="46" t="e">
        <f>VLOOKUP(C28,Active!C$21:E$967,3,FALSE)</f>
        <v>#N/A</v>
      </c>
      <c r="F28" s="3" t="s">
        <v>56</v>
      </c>
      <c r="G28" s="12" t="str">
        <f t="shared" si="4"/>
        <v>55312.4566</v>
      </c>
      <c r="H28" s="10">
        <f t="shared" si="5"/>
        <v>2980</v>
      </c>
      <c r="I28" s="47" t="s">
        <v>80</v>
      </c>
      <c r="J28" s="48" t="s">
        <v>81</v>
      </c>
      <c r="K28" s="47" t="s">
        <v>82</v>
      </c>
      <c r="L28" s="47" t="s">
        <v>83</v>
      </c>
      <c r="M28" s="48" t="s">
        <v>61</v>
      </c>
      <c r="N28" s="48" t="s">
        <v>48</v>
      </c>
      <c r="O28" s="49" t="s">
        <v>84</v>
      </c>
      <c r="P28" s="50" t="s">
        <v>85</v>
      </c>
    </row>
    <row r="29" spans="1:16" ht="12.75" customHeight="1" thickBot="1" x14ac:dyDescent="0.25">
      <c r="A29" s="10" t="str">
        <f t="shared" si="0"/>
        <v>OEJV 0137 </v>
      </c>
      <c r="B29" s="3" t="str">
        <f t="shared" si="1"/>
        <v>II</v>
      </c>
      <c r="C29" s="10">
        <f t="shared" si="2"/>
        <v>55353.499300000003</v>
      </c>
      <c r="D29" s="12" t="str">
        <f t="shared" si="3"/>
        <v>vis</v>
      </c>
      <c r="E29" s="46" t="e">
        <f>VLOOKUP(C29,Active!C$21:E$967,3,FALSE)</f>
        <v>#N/A</v>
      </c>
      <c r="F29" s="3" t="s">
        <v>56</v>
      </c>
      <c r="G29" s="12" t="str">
        <f t="shared" si="4"/>
        <v>55353.4993</v>
      </c>
      <c r="H29" s="10">
        <f t="shared" si="5"/>
        <v>3023.5</v>
      </c>
      <c r="I29" s="47" t="s">
        <v>86</v>
      </c>
      <c r="J29" s="48" t="s">
        <v>87</v>
      </c>
      <c r="K29" s="47" t="s">
        <v>88</v>
      </c>
      <c r="L29" s="47" t="s">
        <v>89</v>
      </c>
      <c r="M29" s="48" t="s">
        <v>61</v>
      </c>
      <c r="N29" s="48" t="s">
        <v>48</v>
      </c>
      <c r="O29" s="49" t="s">
        <v>84</v>
      </c>
      <c r="P29" s="50" t="s">
        <v>85</v>
      </c>
    </row>
    <row r="30" spans="1:16" x14ac:dyDescent="0.2">
      <c r="B30" s="3"/>
      <c r="E30" s="46"/>
      <c r="F30" s="3"/>
    </row>
    <row r="31" spans="1:16" x14ac:dyDescent="0.2">
      <c r="B31" s="3"/>
      <c r="E31" s="46"/>
      <c r="F31" s="3"/>
    </row>
    <row r="32" spans="1:16" x14ac:dyDescent="0.2">
      <c r="B32" s="3"/>
      <c r="E32" s="46"/>
      <c r="F32" s="3"/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E35" s="46"/>
      <c r="F35" s="3"/>
    </row>
    <row r="36" spans="2:6" x14ac:dyDescent="0.2">
      <c r="B36" s="3"/>
      <c r="E36" s="46"/>
      <c r="F36" s="3"/>
    </row>
    <row r="37" spans="2:6" x14ac:dyDescent="0.2">
      <c r="B37" s="3"/>
      <c r="E37" s="46"/>
      <c r="F37" s="3"/>
    </row>
    <row r="38" spans="2:6" x14ac:dyDescent="0.2">
      <c r="B38" s="3"/>
      <c r="E38" s="46"/>
      <c r="F38" s="3"/>
    </row>
    <row r="39" spans="2:6" x14ac:dyDescent="0.2">
      <c r="B39" s="3"/>
      <c r="E39" s="46"/>
      <c r="F39" s="3"/>
    </row>
    <row r="40" spans="2:6" x14ac:dyDescent="0.2">
      <c r="B40" s="3"/>
      <c r="E40" s="46"/>
      <c r="F40" s="3"/>
    </row>
    <row r="41" spans="2:6" x14ac:dyDescent="0.2">
      <c r="B41" s="3"/>
      <c r="E41" s="46"/>
      <c r="F41" s="3"/>
    </row>
    <row r="42" spans="2:6" x14ac:dyDescent="0.2">
      <c r="B42" s="3"/>
      <c r="E42" s="46"/>
      <c r="F42" s="3"/>
    </row>
    <row r="43" spans="2:6" x14ac:dyDescent="0.2">
      <c r="B43" s="3"/>
      <c r="E43" s="46"/>
      <c r="F43" s="3"/>
    </row>
    <row r="44" spans="2:6" x14ac:dyDescent="0.2">
      <c r="B44" s="3"/>
      <c r="E44" s="46"/>
      <c r="F44" s="3"/>
    </row>
    <row r="45" spans="2:6" x14ac:dyDescent="0.2">
      <c r="B45" s="3"/>
      <c r="E45" s="46"/>
      <c r="F45" s="3"/>
    </row>
    <row r="46" spans="2:6" x14ac:dyDescent="0.2">
      <c r="B46" s="3"/>
      <c r="E46" s="46"/>
      <c r="F46" s="3"/>
    </row>
    <row r="47" spans="2:6" x14ac:dyDescent="0.2">
      <c r="B47" s="3"/>
      <c r="E47" s="46"/>
      <c r="F47" s="3"/>
    </row>
    <row r="48" spans="2:6" x14ac:dyDescent="0.2">
      <c r="B48" s="3"/>
      <c r="E48" s="46"/>
      <c r="F48" s="3"/>
    </row>
    <row r="49" spans="2:6" x14ac:dyDescent="0.2">
      <c r="B49" s="3"/>
      <c r="E49" s="46"/>
      <c r="F49" s="3"/>
    </row>
    <row r="50" spans="2:6" x14ac:dyDescent="0.2">
      <c r="B50" s="3"/>
      <c r="E50" s="46"/>
      <c r="F50" s="3"/>
    </row>
    <row r="51" spans="2:6" x14ac:dyDescent="0.2">
      <c r="B51" s="3"/>
      <c r="E51" s="46"/>
      <c r="F51" s="3"/>
    </row>
    <row r="52" spans="2:6" x14ac:dyDescent="0.2">
      <c r="B52" s="3"/>
      <c r="E52" s="46"/>
      <c r="F52" s="3"/>
    </row>
    <row r="53" spans="2:6" x14ac:dyDescent="0.2">
      <c r="B53" s="3"/>
      <c r="E53" s="46"/>
      <c r="F53" s="3"/>
    </row>
    <row r="54" spans="2:6" x14ac:dyDescent="0.2">
      <c r="B54" s="3"/>
      <c r="E54" s="46"/>
      <c r="F54" s="3"/>
    </row>
    <row r="55" spans="2:6" x14ac:dyDescent="0.2">
      <c r="B55" s="3"/>
      <c r="E55" s="46"/>
      <c r="F55" s="3"/>
    </row>
    <row r="56" spans="2:6" x14ac:dyDescent="0.2">
      <c r="B56" s="3"/>
      <c r="E56" s="46"/>
      <c r="F56" s="3"/>
    </row>
    <row r="57" spans="2:6" x14ac:dyDescent="0.2">
      <c r="B57" s="3"/>
      <c r="E57" s="46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</sheetData>
  <phoneticPr fontId="8" type="noConversion"/>
  <hyperlinks>
    <hyperlink ref="P11" r:id="rId1" display="http://www.bav-astro.de/sfs/BAVM_link.php?BAVMnr=178"/>
    <hyperlink ref="P13" r:id="rId2" display="http://www.bav-astro.de/sfs/BAVM_link.php?BAVMnr=186"/>
    <hyperlink ref="P25" r:id="rId3" display="http://var.astro.cz/oejv/issues/oejv0107.pdf"/>
    <hyperlink ref="P26" r:id="rId4" display="http://var.astro.cz/oejv/issues/oejv0107.pdf"/>
    <hyperlink ref="P27" r:id="rId5" display="http://var.astro.cz/oejv/issues/oejv0107.pdf"/>
    <hyperlink ref="P28" r:id="rId6" display="http://var.astro.cz/oejv/issues/oejv0137.pdf"/>
    <hyperlink ref="P29" r:id="rId7" display="http://var.astro.cz/oejv/issues/oejv0137.pdf"/>
    <hyperlink ref="P14" r:id="rId8" display="http://www.bav-astro.de/sfs/BAVM_link.php?BAVMnr=220"/>
    <hyperlink ref="P15" r:id="rId9" display="http://www.bav-astro.de/sfs/BAVM_link.php?BAVMnr=220"/>
    <hyperlink ref="P16" r:id="rId10" display="http://www.konkoly.hu/cgi-bin/IBVS?5992"/>
    <hyperlink ref="P17" r:id="rId11" display="http://var.astro.cz/oejv/issues/oejv0160.pdf"/>
    <hyperlink ref="P18" r:id="rId12" display="http://var.astro.cz/oejv/issues/oejv0160.pdf"/>
    <hyperlink ref="P19" r:id="rId13" display="http://var.astro.cz/oejv/issues/oejv0160.pdf"/>
    <hyperlink ref="P20" r:id="rId14" display="http://var.astro.cz/oejv/issues/oejv0160.pdf"/>
    <hyperlink ref="P21" r:id="rId15" display="http://var.astro.cz/oejv/issues/oejv0160.pdf"/>
    <hyperlink ref="P22" r:id="rId16" display="http://var.astro.cz/oejv/issues/oejv0160.pdf"/>
    <hyperlink ref="P23" r:id="rId17" display="http://var.astro.cz/oejv/issues/oejv0160.pdf"/>
    <hyperlink ref="P24" r:id="rId18" display="http://var.astro.cz/oejv/issues/oejv0160.pdf"/>
    <hyperlink ref="P12" r:id="rId19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2023-01-16T04:06:05Z</dcterms:modified>
</cp:coreProperties>
</file>