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85C3FDC-3764-488E-9E6F-8A6327507874}" xr6:coauthVersionLast="47" xr6:coauthVersionMax="47" xr10:uidLastSave="{00000000-0000-0000-0000-000000000000}"/>
  <bookViews>
    <workbookView xWindow="14070" yWindow="94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G24" i="1"/>
  <c r="K24" i="1"/>
  <c r="Q24" i="1"/>
  <c r="E23" i="1"/>
  <c r="F23" i="1"/>
  <c r="G23" i="1"/>
  <c r="J23" i="1"/>
  <c r="Q23" i="1"/>
  <c r="E22" i="1"/>
  <c r="F22" i="1"/>
  <c r="G22" i="1"/>
  <c r="J22" i="1"/>
  <c r="C9" i="1"/>
  <c r="D9" i="1"/>
  <c r="C21" i="1"/>
  <c r="Q21" i="1"/>
  <c r="Q22" i="1"/>
  <c r="A21" i="1"/>
  <c r="F16" i="1"/>
  <c r="C17" i="1"/>
  <c r="E21" i="1"/>
  <c r="F21" i="1"/>
  <c r="G21" i="1"/>
  <c r="I21" i="1"/>
  <c r="C11" i="1"/>
  <c r="C12" i="1"/>
  <c r="O25" i="1" l="1"/>
  <c r="S25" i="1" s="1"/>
  <c r="C16" i="1"/>
  <c r="D18" i="1" s="1"/>
  <c r="O23" i="1"/>
  <c r="S23" i="1" s="1"/>
  <c r="O24" i="1"/>
  <c r="S24" i="1" s="1"/>
  <c r="O21" i="1"/>
  <c r="S21" i="1" s="1"/>
  <c r="O22" i="1"/>
  <c r="S22" i="1" s="1"/>
  <c r="C15" i="1"/>
  <c r="F17" i="1"/>
  <c r="F18" i="1" l="1"/>
  <c r="S19" i="1"/>
  <c r="F19" i="1"/>
  <c r="C18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<sst xmlns="http://schemas.openxmlformats.org/spreadsheetml/2006/main" count="59" uniqueCount="54">
  <si>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</si>
  <si>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</si>
  <si>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</si>
  <si>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</si>
  <si>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</si>
  <si>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</si>
  <si>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</si>
  <si>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</si>
  <si>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</si>
  <si>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</si>
  <si>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</si>
  <si>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</si>
  <si>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</si>
  <si>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</si>
  <si>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</si>
  <si>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</si>
  <si>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</si>
  <si>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</si>
  <si>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</si>
  <si>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</si>
  <si>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</si>
  <si>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</si>
  <si>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</si>
  <si>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</si>
  <si>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</si>
  <si>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</si>
  <si>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</si>
  <si>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</si>
  <si>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</si>
  <si>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</si>
  <si>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</si>
  <si>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</si>
  <si>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</si>
  <si>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</si>
  <si>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</si>
  <si>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</si>
  <si>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</si>
  <si>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</si>
  <si>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</si>
  <si>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G2038-0800</t>
  </si>
  <si>
    <t>G2038-0800_Her.xls</t>
  </si>
  <si>
    <t>EW</t>
  </si>
  <si>
    <t>Her</t>
  </si>
  <si>
    <t>VSX</t>
  </si>
  <si>
    <t>IBVS 5918</t>
  </si>
  <si>
    <t>I</t>
  </si>
  <si>
    <t>IBVS 6157</t>
  </si>
  <si>
    <t>pg</t>
  </si>
  <si>
    <t>vis</t>
  </si>
  <si>
    <t>PE</t>
  </si>
  <si>
    <t>CCD</t>
  </si>
  <si>
    <t>RHN 2020</t>
  </si>
  <si>
    <t>JBAV, 60</t>
  </si>
  <si>
    <t>V1454 Her / GSC 2038-0800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</si>
</sst>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2038-0800 - O-C Diagr.</a:t>
            </a:r>
          </a:p>
        </c:rich>
      </c:tx>
      <c:layout>
        <c:manualLayout>
          <c:xMode val="edge"/>
          <c:yMode val="edge"/>
          <c:x val="0.351955307262569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949720670391"/>
          <c:y val="0.14035127795846455"/>
          <c:w val="0.8296089385474860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3-4B01-BACE-C1E618B9A3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63-4B01-BACE-C1E618B9A3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-2.3439998913090676E-3</c:v>
                </c:pt>
                <c:pt idx="2">
                  <c:v>3.2716000117943622E-2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63-4B01-BACE-C1E618B9A3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4.0872000106901396E-2</c:v>
                </c:pt>
                <c:pt idx="4">
                  <c:v>3.7340000111726113E-2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63-4B01-BACE-C1E618B9A3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63-4B01-BACE-C1E618B9A3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63-4B01-BACE-C1E618B9A3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4.4999999999999997E-3</c:v>
                  </c:pt>
                  <c:pt idx="3">
                    <c:v>4.0000000000000002E-4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63-4B01-BACE-C1E618B9A3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-2.9814710876263466E-3</c:v>
                </c:pt>
                <c:pt idx="1">
                  <c:v>5.7511506109664649E-3</c:v>
                </c:pt>
                <c:pt idx="2">
                  <c:v>2.4191042903653714E-2</c:v>
                </c:pt>
                <c:pt idx="3">
                  <c:v>3.9133238414868654E-2</c:v>
                </c:pt>
                <c:pt idx="4">
                  <c:v>4.2490039603399588E-2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63-4B01-BACE-C1E618B9A37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3006</c:v>
                </c:pt>
                <c:pt idx="2">
                  <c:v>9353.5</c:v>
                </c:pt>
                <c:pt idx="3">
                  <c:v>14497</c:v>
                </c:pt>
                <c:pt idx="4">
                  <c:v>15652.5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63-4B01-BACE-C1E618B9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1640"/>
        <c:axId val="1"/>
      </c:scatterChart>
      <c:valAx>
        <c:axId val="942201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39664804469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1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43016759776536"/>
          <c:y val="0.92397937099967764"/>
          <c:w val="0.663407821229050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AF416F-5BEA-9F50-3E72-4EFF1E2F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38" t="s">
        <v>53</v>
      </c>
      <c r="E1" t="s">
        <v>40</v>
      </c>
    </row>
    <row r="2" spans="1:6" x14ac:dyDescent="0.2">
      <c r="A2" t="s">
        <v>23</v>
      </c>
      <c r="B2" t="s">
        <v>41</v>
      </c>
      <c r="C2" s="29" t="s">
        <v>38</v>
      </c>
      <c r="D2" s="2" t="s">
        <v>42</v>
      </c>
      <c r="E2" s="30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37</v>
      </c>
      <c r="D4" s="27" t="s">
        <v>37</v>
      </c>
    </row>
    <row r="5" spans="1:6" ht="13.5" thickTop="1" x14ac:dyDescent="0.2">
      <c r="A5" s="8" t="s">
        <v>28</v>
      </c>
      <c r="B5" s="9"/>
      <c r="C5" s="10">
        <v>-9.5</v>
      </c>
      <c r="D5" s="9" t="s">
        <v>29</v>
      </c>
    </row>
    <row r="6" spans="1:6" x14ac:dyDescent="0.2">
      <c r="A6" s="4" t="s">
        <v>1</v>
      </c>
    </row>
    <row r="7" spans="1:6" x14ac:dyDescent="0.2">
      <c r="A7" t="s">
        <v>2</v>
      </c>
      <c r="C7" s="7">
        <v>53882.629999999888</v>
      </c>
      <c r="D7" s="28" t="s">
        <v>43</v>
      </c>
    </row>
    <row r="8" spans="1:6" x14ac:dyDescent="0.2">
      <c r="A8" t="s">
        <v>3</v>
      </c>
      <c r="C8" s="7">
        <v>0.35022399999999998</v>
      </c>
      <c r="D8" s="28" t="s">
        <v>43</v>
      </c>
    </row>
    <row r="9" spans="1:6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INTERCEPT(INDIRECT($D$9):G992,INDIRECT($C$9):F992)</f>
        <v>-2.9814710876263466E-3</v>
      </c>
      <c r="D11" s="2"/>
      <c r="E11" s="9"/>
    </row>
    <row r="12" spans="1:6" x14ac:dyDescent="0.2">
      <c r="A12" s="9" t="s">
        <v>16</v>
      </c>
      <c r="B12" s="9"/>
      <c r="C12" s="20">
        <f ca="1">SLOPE(INDIRECT($D$9):G992,INDIRECT($C$9):F992)</f>
        <v>2.9050637719869631E-6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59364.378536586963</v>
      </c>
      <c r="E15" s="13" t="s">
        <v>34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0.35022690506377196</v>
      </c>
      <c r="E16" s="13" t="s">
        <v>30</v>
      </c>
      <c r="F16" s="14">
        <f ca="1">NOW()+15018.5+$C$5/24</f>
        <v>59960.754506481477</v>
      </c>
    </row>
    <row r="17" spans="1:21" ht="13.5" thickBot="1" x14ac:dyDescent="0.25">
      <c r="A17" s="13" t="s">
        <v>27</v>
      </c>
      <c r="B17" s="9"/>
      <c r="C17" s="9">
        <f>COUNT(C21:C2191)</f>
        <v>5</v>
      </c>
      <c r="E17" s="13" t="s">
        <v>35</v>
      </c>
      <c r="F17" s="14">
        <f ca="1">ROUND(2*(F16-$C$7)/$C$8,0)/2+F15</f>
        <v>17356</v>
      </c>
    </row>
    <row r="18" spans="1:21" ht="14.25" thickTop="1" thickBot="1" x14ac:dyDescent="0.25">
      <c r="A18" s="15" t="s">
        <v>5</v>
      </c>
      <c r="B18" s="9"/>
      <c r="C18" s="18">
        <f ca="1">+C15</f>
        <v>59364.378536586963</v>
      </c>
      <c r="D18" s="19">
        <f ca="1">+C16</f>
        <v>0.35022690506377196</v>
      </c>
      <c r="E18" s="13" t="s">
        <v>36</v>
      </c>
      <c r="F18" s="22">
        <f ca="1">ROUND(2*(F16-$C$15)/$C$16,0)/2+F15</f>
        <v>1704</v>
      </c>
    </row>
    <row r="19" spans="1:21" ht="13.5" thickTop="1" x14ac:dyDescent="0.2">
      <c r="E19" s="13" t="s">
        <v>31</v>
      </c>
      <c r="F19" s="17">
        <f ca="1">+$C$15+$C$16*F18-15018.5-$C$5/24</f>
        <v>44943.061016148968</v>
      </c>
      <c r="S19">
        <f ca="1">SQRT(SUM(S21:S50)/(COUNT(S21:S50)-1))</f>
        <v>6.645331556698171E-3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47</v>
      </c>
      <c r="I20" s="6" t="s">
        <v>48</v>
      </c>
      <c r="J20" s="6" t="s">
        <v>49</v>
      </c>
      <c r="K20" s="6" t="s">
        <v>50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t="str">
        <f>D7</f>
        <v>VSX</v>
      </c>
      <c r="C21" s="7">
        <f>C$7</f>
        <v>53882.629999999888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-2.9814710876263466E-3</v>
      </c>
      <c r="Q21" s="1">
        <f>+C21-15018.5</f>
        <v>38864.129999999888</v>
      </c>
      <c r="S21">
        <f ca="1">+(O21-G21)^2</f>
        <v>8.8891698463518292E-6</v>
      </c>
    </row>
    <row r="22" spans="1:21" x14ac:dyDescent="0.2">
      <c r="A22" s="31" t="s">
        <v>44</v>
      </c>
      <c r="B22" s="32" t="s">
        <v>45</v>
      </c>
      <c r="C22" s="31">
        <v>54935.400999999998</v>
      </c>
      <c r="D22" s="31">
        <v>1E-4</v>
      </c>
      <c r="E22">
        <f>+(C22-C$7)/C$8</f>
        <v>3005.9933071408864</v>
      </c>
      <c r="F22">
        <f>ROUND(2*E22,0)/2</f>
        <v>3006</v>
      </c>
      <c r="G22">
        <f>+C22-(C$7+F22*C$8)</f>
        <v>-2.3439998913090676E-3</v>
      </c>
      <c r="J22">
        <f>+G22</f>
        <v>-2.3439998913090676E-3</v>
      </c>
      <c r="O22">
        <f ca="1">+C$11+C$12*$F22</f>
        <v>5.7511506109664649E-3</v>
      </c>
      <c r="Q22" s="1">
        <f>+C22-15018.5</f>
        <v>39916.900999999998</v>
      </c>
      <c r="S22">
        <f ca="1">+(O22-G22)^2</f>
        <v>6.5531461654491809E-5</v>
      </c>
    </row>
    <row r="23" spans="1:21" x14ac:dyDescent="0.2">
      <c r="A23" s="33" t="s">
        <v>46</v>
      </c>
      <c r="B23" s="34"/>
      <c r="C23" s="33">
        <v>57158.482900000003</v>
      </c>
      <c r="D23" s="33">
        <v>4.4999999999999997E-3</v>
      </c>
      <c r="E23">
        <f>+(C23-C$7)/C$8</f>
        <v>9353.5934145007614</v>
      </c>
      <c r="F23">
        <f>ROUND(2*E23,0)/2</f>
        <v>9353.5</v>
      </c>
      <c r="G23">
        <f>+C23-(C$7+F23*C$8)</f>
        <v>3.2716000117943622E-2</v>
      </c>
      <c r="J23">
        <f>+G23</f>
        <v>3.2716000117943622E-2</v>
      </c>
      <c r="O23">
        <f ca="1">+C$11+C$12*$F23</f>
        <v>2.4191042903653714E-2</v>
      </c>
      <c r="Q23" s="1">
        <f>+C23-15018.5</f>
        <v>42139.982900000003</v>
      </c>
      <c r="S23">
        <f t="shared" ref="S23:S25" ca="1" si="0">+(O23-G23)^2</f>
        <v>7.2674895505473556E-5</v>
      </c>
    </row>
    <row r="24" spans="1:21" x14ac:dyDescent="0.2">
      <c r="A24" s="4" t="s">
        <v>51</v>
      </c>
      <c r="C24" s="7">
        <v>58959.868199999997</v>
      </c>
      <c r="D24" s="7">
        <v>4.0000000000000002E-4</v>
      </c>
      <c r="E24">
        <f>+(C24-C$7)/C$8</f>
        <v>14497.116702453599</v>
      </c>
      <c r="F24">
        <f>ROUND(2*E24,0)/2</f>
        <v>14497</v>
      </c>
      <c r="G24">
        <f>+C24-(C$7+F24*C$8)</f>
        <v>4.0872000106901396E-2</v>
      </c>
      <c r="K24">
        <f>+G24</f>
        <v>4.0872000106901396E-2</v>
      </c>
      <c r="O24">
        <f ca="1">+C$11+C$12*$F24</f>
        <v>3.9133238414868654E-2</v>
      </c>
      <c r="Q24" s="1">
        <f>+C24-15018.5</f>
        <v>43941.368199999997</v>
      </c>
      <c r="S24">
        <f t="shared" ca="1" si="0"/>
        <v>3.0232922216805638E-6</v>
      </c>
    </row>
    <row r="25" spans="1:21" x14ac:dyDescent="0.2">
      <c r="A25" s="35" t="s">
        <v>52</v>
      </c>
      <c r="B25" s="36" t="s">
        <v>45</v>
      </c>
      <c r="C25" s="37">
        <v>59364.548499999997</v>
      </c>
      <c r="D25" s="35">
        <v>3.3E-3</v>
      </c>
      <c r="E25">
        <f>+(C25-C$7)/C$8</f>
        <v>15652.60661747941</v>
      </c>
      <c r="F25">
        <f>ROUND(2*E25,0)/2</f>
        <v>15652.5</v>
      </c>
      <c r="G25">
        <f>+C25-(C$7+F25*C$8)</f>
        <v>3.7340000111726113E-2</v>
      </c>
      <c r="K25">
        <f>+G25</f>
        <v>3.7340000111726113E-2</v>
      </c>
      <c r="O25">
        <f ca="1">+C$11+C$12*$F25</f>
        <v>4.2490039603399588E-2</v>
      </c>
      <c r="Q25" s="1">
        <f>+C25-15018.5</f>
        <v>44346.048499999997</v>
      </c>
      <c r="S25">
        <f t="shared" ca="1" si="0"/>
        <v>2.6522906765796382E-5</v>
      </c>
    </row>
    <row r="26" spans="1:21" x14ac:dyDescent="0.2">
      <c r="C26" s="7"/>
      <c r="D26" s="7"/>
      <c r="Q26" s="1"/>
    </row>
    <row r="27" spans="1:21" x14ac:dyDescent="0.2">
      <c r="C27" s="7"/>
      <c r="D27" s="7"/>
      <c r="Q27" s="1"/>
    </row>
    <row r="28" spans="1:21" x14ac:dyDescent="0.2">
      <c r="C28" s="7"/>
      <c r="D28" s="7"/>
      <c r="Q28" s="1"/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2023-01-16T05:06:29Z</dcterms:modified>
</cp:coreProperties>
</file>