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BC680B7D-22F2-46FD-A090-07644EC439E9}" xr6:coauthVersionLast="47" xr6:coauthVersionMax="47" xr10:uidLastSave="{00000000-0000-0000-0000-000000000000}"/>
  <bookViews>
    <workbookView xWindow="13815" yWindow="42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3" i="1" l="1"/>
  <c r="Q69" i="1"/>
  <c r="Q70" i="1"/>
  <c r="Q71" i="1"/>
  <c r="Q72" i="1"/>
  <c r="Q68" i="1"/>
  <c r="Q67" i="1"/>
  <c r="Q66" i="1"/>
  <c r="D9" i="1"/>
  <c r="C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52" i="1"/>
  <c r="Q53" i="1"/>
  <c r="Q56" i="1"/>
  <c r="Q61" i="1"/>
  <c r="G22" i="2"/>
  <c r="C22" i="2"/>
  <c r="G21" i="2"/>
  <c r="C21" i="2"/>
  <c r="G20" i="2"/>
  <c r="C20" i="2"/>
  <c r="G19" i="2"/>
  <c r="C19" i="2"/>
  <c r="G54" i="2"/>
  <c r="C54" i="2"/>
  <c r="G18" i="2"/>
  <c r="C18" i="2"/>
  <c r="G17" i="2"/>
  <c r="C17" i="2"/>
  <c r="G16" i="2"/>
  <c r="C16" i="2"/>
  <c r="G15" i="2"/>
  <c r="C15" i="2"/>
  <c r="G53" i="2"/>
  <c r="C53" i="2"/>
  <c r="G14" i="2"/>
  <c r="C14" i="2"/>
  <c r="G13" i="2"/>
  <c r="C13" i="2"/>
  <c r="G52" i="2"/>
  <c r="C52" i="2"/>
  <c r="G51" i="2"/>
  <c r="C51" i="2"/>
  <c r="G12" i="2"/>
  <c r="C12" i="2"/>
  <c r="G50" i="2"/>
  <c r="C50" i="2"/>
  <c r="E50" i="2"/>
  <c r="G49" i="2"/>
  <c r="C49" i="2"/>
  <c r="G11" i="2"/>
  <c r="C11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54" i="2"/>
  <c r="B54" i="2"/>
  <c r="D54" i="2"/>
  <c r="A54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53" i="2"/>
  <c r="B53" i="2"/>
  <c r="D53" i="2"/>
  <c r="A53" i="2"/>
  <c r="H14" i="2"/>
  <c r="B14" i="2"/>
  <c r="D14" i="2"/>
  <c r="A14" i="2"/>
  <c r="H13" i="2"/>
  <c r="B13" i="2"/>
  <c r="D13" i="2"/>
  <c r="A13" i="2"/>
  <c r="H52" i="2"/>
  <c r="B52" i="2"/>
  <c r="D52" i="2"/>
  <c r="A52" i="2"/>
  <c r="H51" i="2"/>
  <c r="B51" i="2"/>
  <c r="D51" i="2"/>
  <c r="A51" i="2"/>
  <c r="H12" i="2"/>
  <c r="B12" i="2"/>
  <c r="D12" i="2"/>
  <c r="A12" i="2"/>
  <c r="H50" i="2"/>
  <c r="B50" i="2"/>
  <c r="D50" i="2"/>
  <c r="A50" i="2"/>
  <c r="H49" i="2"/>
  <c r="B49" i="2"/>
  <c r="D49" i="2"/>
  <c r="A49" i="2"/>
  <c r="H11" i="2"/>
  <c r="B11" i="2"/>
  <c r="D11" i="2"/>
  <c r="A11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Q65" i="1"/>
  <c r="Q64" i="1"/>
  <c r="Q60" i="1"/>
  <c r="Q54" i="1"/>
  <c r="Q57" i="1"/>
  <c r="Q59" i="1"/>
  <c r="C7" i="1"/>
  <c r="E73" i="1" s="1"/>
  <c r="F73" i="1" s="1"/>
  <c r="G73" i="1" s="1"/>
  <c r="K73" i="1" s="1"/>
  <c r="C8" i="1"/>
  <c r="Q62" i="1"/>
  <c r="Q63" i="1"/>
  <c r="F16" i="1"/>
  <c r="C17" i="1"/>
  <c r="Q55" i="1"/>
  <c r="Q58" i="1"/>
  <c r="Q51" i="1"/>
  <c r="Q50" i="1"/>
  <c r="Q48" i="1"/>
  <c r="Q27" i="1"/>
  <c r="E38" i="1"/>
  <c r="F38" i="1" s="1"/>
  <c r="G38" i="1" s="1"/>
  <c r="I38" i="1" s="1"/>
  <c r="E60" i="1"/>
  <c r="E18" i="2" s="1"/>
  <c r="E66" i="1"/>
  <c r="F66" i="1" s="1"/>
  <c r="G66" i="1" s="1"/>
  <c r="K66" i="1" s="1"/>
  <c r="E56" i="1"/>
  <c r="F56" i="1" s="1"/>
  <c r="G56" i="1" s="1"/>
  <c r="K56" i="1" s="1"/>
  <c r="E59" i="1"/>
  <c r="F59" i="1" s="1"/>
  <c r="G59" i="1" s="1"/>
  <c r="K59" i="1" s="1"/>
  <c r="E26" i="1"/>
  <c r="F26" i="1" s="1"/>
  <c r="G26" i="1" s="1"/>
  <c r="I26" i="1" s="1"/>
  <c r="E44" i="1"/>
  <c r="F44" i="1" s="1"/>
  <c r="G44" i="1" s="1"/>
  <c r="I44" i="1" s="1"/>
  <c r="E63" i="1"/>
  <c r="F63" i="1" s="1"/>
  <c r="G63" i="1" s="1"/>
  <c r="K63" i="1" s="1"/>
  <c r="E35" i="1"/>
  <c r="F35" i="1" s="1"/>
  <c r="G35" i="1" s="1"/>
  <c r="I35" i="1" s="1"/>
  <c r="E17" i="2"/>
  <c r="E45" i="2"/>
  <c r="E20" i="2" l="1"/>
  <c r="E36" i="2"/>
  <c r="E46" i="1"/>
  <c r="E42" i="1"/>
  <c r="E25" i="1"/>
  <c r="E49" i="1"/>
  <c r="E50" i="1"/>
  <c r="F50" i="1" s="1"/>
  <c r="G50" i="1" s="1"/>
  <c r="K50" i="1" s="1"/>
  <c r="E71" i="1"/>
  <c r="F71" i="1" s="1"/>
  <c r="G71" i="1" s="1"/>
  <c r="K71" i="1" s="1"/>
  <c r="E33" i="1"/>
  <c r="E67" i="1"/>
  <c r="F67" i="1" s="1"/>
  <c r="G67" i="1" s="1"/>
  <c r="K67" i="1" s="1"/>
  <c r="E36" i="1"/>
  <c r="E37" i="2" s="1"/>
  <c r="E62" i="1"/>
  <c r="E53" i="1"/>
  <c r="F53" i="1" s="1"/>
  <c r="G53" i="1" s="1"/>
  <c r="K53" i="1" s="1"/>
  <c r="E57" i="1"/>
  <c r="E39" i="1"/>
  <c r="E40" i="2" s="1"/>
  <c r="E69" i="1"/>
  <c r="F69" i="1" s="1"/>
  <c r="G69" i="1" s="1"/>
  <c r="K69" i="1" s="1"/>
  <c r="E28" i="2"/>
  <c r="E45" i="1"/>
  <c r="E61" i="1"/>
  <c r="E40" i="1"/>
  <c r="E21" i="1"/>
  <c r="E23" i="2" s="1"/>
  <c r="E72" i="1"/>
  <c r="F72" i="1" s="1"/>
  <c r="G72" i="1" s="1"/>
  <c r="K72" i="1" s="1"/>
  <c r="E22" i="1"/>
  <c r="E37" i="1"/>
  <c r="E38" i="2" s="1"/>
  <c r="E70" i="1"/>
  <c r="F70" i="1" s="1"/>
  <c r="G70" i="1" s="1"/>
  <c r="K70" i="1" s="1"/>
  <c r="E48" i="1"/>
  <c r="E11" i="2" s="1"/>
  <c r="E54" i="1"/>
  <c r="E24" i="1"/>
  <c r="F24" i="1" s="1"/>
  <c r="G24" i="1" s="1"/>
  <c r="I24" i="1" s="1"/>
  <c r="E27" i="1"/>
  <c r="F27" i="1" s="1"/>
  <c r="E31" i="1"/>
  <c r="E55" i="1"/>
  <c r="F55" i="1" s="1"/>
  <c r="G55" i="1" s="1"/>
  <c r="J55" i="1" s="1"/>
  <c r="E68" i="1"/>
  <c r="F68" i="1" s="1"/>
  <c r="G68" i="1" s="1"/>
  <c r="K68" i="1" s="1"/>
  <c r="F17" i="1"/>
  <c r="E43" i="1"/>
  <c r="E23" i="1"/>
  <c r="E25" i="2" s="1"/>
  <c r="E52" i="1"/>
  <c r="E65" i="1"/>
  <c r="E41" i="1"/>
  <c r="F41" i="1" s="1"/>
  <c r="G41" i="1" s="1"/>
  <c r="I41" i="1" s="1"/>
  <c r="E30" i="1"/>
  <c r="F30" i="1" s="1"/>
  <c r="G30" i="1" s="1"/>
  <c r="I30" i="1" s="1"/>
  <c r="E51" i="1"/>
  <c r="E12" i="2" s="1"/>
  <c r="E53" i="2"/>
  <c r="E32" i="1"/>
  <c r="E28" i="1"/>
  <c r="E29" i="2" s="1"/>
  <c r="E58" i="1"/>
  <c r="E29" i="1"/>
  <c r="E30" i="2" s="1"/>
  <c r="E64" i="1"/>
  <c r="F64" i="1" s="1"/>
  <c r="G64" i="1" s="1"/>
  <c r="J64" i="1" s="1"/>
  <c r="E34" i="1"/>
  <c r="E47" i="1"/>
  <c r="E48" i="2" s="1"/>
  <c r="F48" i="1"/>
  <c r="G48" i="1" s="1"/>
  <c r="J48" i="1" s="1"/>
  <c r="E42" i="2"/>
  <c r="F28" i="1"/>
  <c r="G28" i="1" s="1"/>
  <c r="I28" i="1" s="1"/>
  <c r="F36" i="1"/>
  <c r="G36" i="1" s="1"/>
  <c r="F39" i="1"/>
  <c r="G39" i="1" s="1"/>
  <c r="I39" i="1" s="1"/>
  <c r="E31" i="2"/>
  <c r="F23" i="1"/>
  <c r="G23" i="1" s="1"/>
  <c r="I23" i="1" s="1"/>
  <c r="E14" i="2"/>
  <c r="E39" i="2"/>
  <c r="E26" i="2"/>
  <c r="F60" i="1"/>
  <c r="G60" i="1" s="1"/>
  <c r="K60" i="1" s="1"/>
  <c r="E52" i="2"/>
  <c r="F51" i="1" l="1"/>
  <c r="G51" i="1" s="1"/>
  <c r="J51" i="1" s="1"/>
  <c r="F34" i="1"/>
  <c r="G34" i="1" s="1"/>
  <c r="I34" i="1" s="1"/>
  <c r="E35" i="2"/>
  <c r="E24" i="2"/>
  <c r="F22" i="1"/>
  <c r="G22" i="1" s="1"/>
  <c r="I22" i="1" s="1"/>
  <c r="F21" i="1"/>
  <c r="G21" i="1" s="1"/>
  <c r="I21" i="1" s="1"/>
  <c r="E32" i="2"/>
  <c r="F31" i="1"/>
  <c r="G31" i="1" s="1"/>
  <c r="E15" i="2"/>
  <c r="F57" i="1"/>
  <c r="G57" i="1" s="1"/>
  <c r="K57" i="1" s="1"/>
  <c r="E49" i="2"/>
  <c r="F49" i="1"/>
  <c r="G49" i="1" s="1"/>
  <c r="K49" i="1" s="1"/>
  <c r="F47" i="1"/>
  <c r="G47" i="1" s="1"/>
  <c r="I47" i="1" s="1"/>
  <c r="F65" i="1"/>
  <c r="G65" i="1" s="1"/>
  <c r="J65" i="1" s="1"/>
  <c r="E22" i="2"/>
  <c r="F25" i="1"/>
  <c r="G25" i="1" s="1"/>
  <c r="I25" i="1" s="1"/>
  <c r="E27" i="2"/>
  <c r="E21" i="2"/>
  <c r="F29" i="1"/>
  <c r="G29" i="1" s="1"/>
  <c r="I29" i="1" s="1"/>
  <c r="E16" i="2"/>
  <c r="F58" i="1"/>
  <c r="G58" i="1" s="1"/>
  <c r="K58" i="1" s="1"/>
  <c r="E51" i="2"/>
  <c r="F52" i="1"/>
  <c r="G52" i="1" s="1"/>
  <c r="K52" i="1" s="1"/>
  <c r="E41" i="2"/>
  <c r="F40" i="1"/>
  <c r="G40" i="1" s="1"/>
  <c r="I40" i="1" s="1"/>
  <c r="E19" i="2"/>
  <c r="F62" i="1"/>
  <c r="G62" i="1" s="1"/>
  <c r="K62" i="1" s="1"/>
  <c r="F42" i="1"/>
  <c r="G42" i="1" s="1"/>
  <c r="I42" i="1" s="1"/>
  <c r="E43" i="2"/>
  <c r="E13" i="2"/>
  <c r="F54" i="1"/>
  <c r="G54" i="1" s="1"/>
  <c r="K54" i="1" s="1"/>
  <c r="E54" i="2"/>
  <c r="F61" i="1"/>
  <c r="G61" i="1" s="1"/>
  <c r="K61" i="1" s="1"/>
  <c r="F46" i="1"/>
  <c r="G46" i="1" s="1"/>
  <c r="I46" i="1" s="1"/>
  <c r="E47" i="2"/>
  <c r="F32" i="1"/>
  <c r="G32" i="1" s="1"/>
  <c r="I32" i="1" s="1"/>
  <c r="E33" i="2"/>
  <c r="E44" i="2"/>
  <c r="F43" i="1"/>
  <c r="G43" i="1" s="1"/>
  <c r="I43" i="1" s="1"/>
  <c r="F45" i="1"/>
  <c r="G45" i="1" s="1"/>
  <c r="I45" i="1" s="1"/>
  <c r="E46" i="2"/>
  <c r="F37" i="1"/>
  <c r="G37" i="1" s="1"/>
  <c r="I37" i="1" s="1"/>
  <c r="F33" i="1"/>
  <c r="G33" i="1" s="1"/>
  <c r="I33" i="1" s="1"/>
  <c r="E34" i="2"/>
  <c r="I36" i="1"/>
  <c r="C11" i="1"/>
  <c r="C12" i="1"/>
  <c r="C16" i="1" l="1"/>
  <c r="D18" i="1" s="1"/>
  <c r="O41" i="1"/>
  <c r="O35" i="1"/>
  <c r="O28" i="1"/>
  <c r="O66" i="1"/>
  <c r="O60" i="1"/>
  <c r="O71" i="1"/>
  <c r="O25" i="1"/>
  <c r="O42" i="1"/>
  <c r="O47" i="1"/>
  <c r="O58" i="1"/>
  <c r="O53" i="1"/>
  <c r="C15" i="1"/>
  <c r="O46" i="1"/>
  <c r="O34" i="1"/>
  <c r="O26" i="1"/>
  <c r="O65" i="1"/>
  <c r="O22" i="1"/>
  <c r="O62" i="1"/>
  <c r="O45" i="1"/>
  <c r="O32" i="1"/>
  <c r="O50" i="1"/>
  <c r="O24" i="1"/>
  <c r="O73" i="1"/>
  <c r="O40" i="1"/>
  <c r="O59" i="1"/>
  <c r="O55" i="1"/>
  <c r="O29" i="1"/>
  <c r="O56" i="1"/>
  <c r="O27" i="1"/>
  <c r="O61" i="1"/>
  <c r="O39" i="1"/>
  <c r="O43" i="1"/>
  <c r="O57" i="1"/>
  <c r="O52" i="1"/>
  <c r="O21" i="1"/>
  <c r="O48" i="1"/>
  <c r="O68" i="1"/>
  <c r="O37" i="1"/>
  <c r="O33" i="1"/>
  <c r="O44" i="1"/>
  <c r="O23" i="1"/>
  <c r="O69" i="1"/>
  <c r="O49" i="1"/>
  <c r="O72" i="1"/>
  <c r="O38" i="1"/>
  <c r="O30" i="1"/>
  <c r="O63" i="1"/>
  <c r="O70" i="1"/>
  <c r="O67" i="1"/>
  <c r="O31" i="1"/>
  <c r="O51" i="1"/>
  <c r="O64" i="1"/>
  <c r="O36" i="1"/>
  <c r="O54" i="1"/>
  <c r="I31" i="1"/>
  <c r="C18" i="1" l="1"/>
  <c r="F18" i="1"/>
  <c r="F19" i="1" s="1"/>
</calcChain>
</file>

<file path=xl/sharedStrings.xml><?xml version="1.0" encoding="utf-8"?>
<sst xmlns="http://schemas.openxmlformats.org/spreadsheetml/2006/main" count="545" uniqueCount="251">
  <si>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</si>
  <si>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</si>
  <si>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</si>
  <si>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</si>
  <si>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</si>
  <si>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</si>
  <si>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</si>
  <si>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</si>
  <si>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</si>
  <si>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</si>
  <si>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</si>
  <si>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</si>
  <si>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</si>
  <si>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</si>
  <si>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</si>
  <si>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</si>
  <si>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</si>
  <si>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</si>
  <si>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</si>
  <si>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</si>
  <si>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</si>
  <si>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</si>
  <si>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</si>
  <si>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</si>
  <si>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</si>
  <si>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5657</t>
  </si>
  <si>
    <t>EA</t>
  </si>
  <si>
    <t># of data points:</t>
  </si>
  <si>
    <t>DI Hya / gsc 5453-0907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</si>
  <si>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</si>
  <si>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</si>
  <si>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</si>
  <si>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</si>
  <si>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</si>
  <si>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</si>
  <si>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5806</t>
  </si>
  <si>
    <t>I</t>
  </si>
  <si>
    <t>Start of linear fit &gt;&gt;&gt;&gt;&gt;&gt;&gt;&gt;&gt;&gt;&gt;&gt;&gt;&gt;&gt;&gt;&gt;&gt;&gt;&gt;&gt;</t>
  </si>
  <si>
    <t>IBVS 5871</t>
  </si>
  <si>
    <t>IBVS 5874</t>
  </si>
  <si>
    <t>Add cycle</t>
  </si>
  <si>
    <t>Old Cycle</t>
  </si>
  <si>
    <t>IBVS 5992</t>
  </si>
  <si>
    <t>IBVS 6011</t>
  </si>
  <si>
    <t>JAVSO..39...94</t>
  </si>
  <si>
    <t>JAVSO..36..186</t>
  </si>
  <si>
    <t>JAVSO..37...44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</si>
  <si>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</si>
  <si>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</si>
  <si>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</si>
  <si>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</si>
  <si>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</si>
  <si>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</si>
  <si>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</si>
  <si>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</si>
  <si>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</si>
  <si>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</si>
  <si>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</si>
  <si>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</si>
  <si>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2427503.393 </t>
  </si>
  <si>
    <t> 06.03.1934 21:25 </t>
  </si>
  <si>
    <t> 0.000 </t>
  </si>
  <si>
    <t>V </t>
  </si>
  <si>
    <t> S.Piotrowski </t>
  </si>
  <si>
    <t> AAC 4.84 </t>
  </si>
  <si>
    <t>2431173.22 </t>
  </si>
  <si>
    <t> 23.03.1944 17:16 </t>
  </si>
  <si>
    <t> -0.01 </t>
  </si>
  <si>
    <t> W.Zessewitsch </t>
  </si>
  <si>
    <t> IODE 4.2.144 </t>
  </si>
  <si>
    <t>2431176.33 </t>
  </si>
  <si>
    <t> 26.03.1944 19:55 </t>
  </si>
  <si>
    <t> 0.03 </t>
  </si>
  <si>
    <t>2431178.13 </t>
  </si>
  <si>
    <t> 28.03.1944 15:07 </t>
  </si>
  <si>
    <t> -0.02 </t>
  </si>
  <si>
    <t>2431181.24 </t>
  </si>
  <si>
    <t> 31.03.1944 17:45 </t>
  </si>
  <si>
    <t> 0.02 </t>
  </si>
  <si>
    <t>2431194.12 </t>
  </si>
  <si>
    <t> 13.04.1944 14:52 </t>
  </si>
  <si>
    <t>2431197.17 </t>
  </si>
  <si>
    <t> 16.04.1944 16:04 </t>
  </si>
  <si>
    <t> -0.03 </t>
  </si>
  <si>
    <t>2431208.22 </t>
  </si>
  <si>
    <t> 27.04.1944 17:16 </t>
  </si>
  <si>
    <t> -0.05 </t>
  </si>
  <si>
    <t>2431221.17 </t>
  </si>
  <si>
    <t> 10.05.1944 16:04 </t>
  </si>
  <si>
    <t>2443538.790 </t>
  </si>
  <si>
    <t> 30.01.1978 06:57 </t>
  </si>
  <si>
    <t> 13.512 </t>
  </si>
  <si>
    <t> G.Samolyk </t>
  </si>
  <si>
    <t> AOEB 9 </t>
  </si>
  <si>
    <t>2444307.801 </t>
  </si>
  <si>
    <t> 09.03.1980 07:13 </t>
  </si>
  <si>
    <t> 13.517 </t>
  </si>
  <si>
    <t>2444320.707 </t>
  </si>
  <si>
    <t> 22.03.1980 04:58 </t>
  </si>
  <si>
    <t> 13.514 </t>
  </si>
  <si>
    <t> P.Goodwin </t>
  </si>
  <si>
    <t>2444660.637 </t>
  </si>
  <si>
    <t> 25.02.1981 03:17 </t>
  </si>
  <si>
    <t> 13.508 </t>
  </si>
  <si>
    <t>2444679.697 </t>
  </si>
  <si>
    <t> 16.03.1981 04:43 </t>
  </si>
  <si>
    <t>2445352.813 </t>
  </si>
  <si>
    <t> 18.01.1983 07:30 </t>
  </si>
  <si>
    <t>2446114.442 </t>
  </si>
  <si>
    <t> 17.02.1985 22:36 </t>
  </si>
  <si>
    <t> 13.516 </t>
  </si>
  <si>
    <t> T.Brelstaff </t>
  </si>
  <si>
    <t> VSSC 64.23 </t>
  </si>
  <si>
    <t>2446135.334 </t>
  </si>
  <si>
    <t> 10.03.1985 20:00 </t>
  </si>
  <si>
    <t>2446908.653 </t>
  </si>
  <si>
    <t> 23.04.1987 03:40 </t>
  </si>
  <si>
    <t> R.Hill </t>
  </si>
  <si>
    <t>2450520.690 </t>
  </si>
  <si>
    <t> 13.03.1997 04:33 </t>
  </si>
  <si>
    <t> 16.573 </t>
  </si>
  <si>
    <t>2451996.6190 </t>
  </si>
  <si>
    <t> 28.03.2001 02:51 </t>
  </si>
  <si>
    <t> 16.5759 </t>
  </si>
  <si>
    <t>C </t>
  </si>
  <si>
    <t>ns</t>
  </si>
  <si>
    <t>2452616.8590 </t>
  </si>
  <si>
    <t> 08.12.2002 08:36 </t>
  </si>
  <si>
    <t> 16.5702 </t>
  </si>
  <si>
    <t>2452648.8249 </t>
  </si>
  <si>
    <t> 09.01.2003 07:47 </t>
  </si>
  <si>
    <t> 16.5710 </t>
  </si>
  <si>
    <t> S.Dvorak </t>
  </si>
  <si>
    <t>2452741.6487 </t>
  </si>
  <si>
    <t> 12.04.2003 03:34 </t>
  </si>
  <si>
    <t> 16.5732 </t>
  </si>
  <si>
    <t> C.Hesseltine </t>
  </si>
  <si>
    <t>2452741.6489 </t>
  </si>
  <si>
    <t> 16.5734 </t>
  </si>
  <si>
    <t>2453057.6109 </t>
  </si>
  <si>
    <t> 22.02.2004 02:39 </t>
  </si>
  <si>
    <t> 16.5728 </t>
  </si>
  <si>
    <t>2453432.5840 </t>
  </si>
  <si>
    <t> 03.03.2005 02:00 </t>
  </si>
  <si>
    <t> 16.5708 </t>
  </si>
  <si>
    <t> AOEB 12 </t>
  </si>
  <si>
    <t>2453463.3199 </t>
  </si>
  <si>
    <t> 02.04.2005 19:40 </t>
  </si>
  <si>
    <t> 16.5711 </t>
  </si>
  <si>
    <t>E </t>
  </si>
  <si>
    <t>-I</t>
  </si>
  <si>
    <t> F.Walter </t>
  </si>
  <si>
    <t>BAVM 173 </t>
  </si>
  <si>
    <t>2453857.9681 </t>
  </si>
  <si>
    <t> 02.05.2006 11:14 </t>
  </si>
  <si>
    <t>36842</t>
  </si>
  <si>
    <t>?</t>
  </si>
  <si>
    <t> K. Nagai et al. </t>
  </si>
  <si>
    <t>VSB 45 </t>
  </si>
  <si>
    <t>2454058.9801 </t>
  </si>
  <si>
    <t> 19.11.2006 11:31 </t>
  </si>
  <si>
    <t>37169</t>
  </si>
  <si>
    <t> 16.5742 </t>
  </si>
  <si>
    <t>o</t>
  </si>
  <si>
    <t> T.Krajci </t>
  </si>
  <si>
    <t>IBVS 5806 </t>
  </si>
  <si>
    <t>2454172.3965 </t>
  </si>
  <si>
    <t> 12.03.2007 21:30 </t>
  </si>
  <si>
    <t>37353.5</t>
  </si>
  <si>
    <t> 16.5760 </t>
  </si>
  <si>
    <t>BAVM 186 </t>
  </si>
  <si>
    <t>2454172.7022 </t>
  </si>
  <si>
    <t> 13.03.2007 04:51 </t>
  </si>
  <si>
    <t>37354</t>
  </si>
  <si>
    <t> 16.5743 </t>
  </si>
  <si>
    <t> R.Poklar </t>
  </si>
  <si>
    <t>2454212.6579 </t>
  </si>
  <si>
    <t> 22.04.2007 03:47 </t>
  </si>
  <si>
    <t>37419</t>
  </si>
  <si>
    <t> 16.5737 </t>
  </si>
  <si>
    <t>2454531.6923 </t>
  </si>
  <si>
    <t> 06.03.2008 04:36 </t>
  </si>
  <si>
    <t>37938</t>
  </si>
  <si>
    <t> 16.5719 </t>
  </si>
  <si>
    <t> J.Bialozynski </t>
  </si>
  <si>
    <t>JAAVSO 36(2);186 </t>
  </si>
  <si>
    <t>2454535.3799 </t>
  </si>
  <si>
    <t> 09.03.2008 21:07 </t>
  </si>
  <si>
    <t>37944</t>
  </si>
  <si>
    <t> 16.5712 </t>
  </si>
  <si>
    <t>BAVM 201 </t>
  </si>
  <si>
    <t>2454816.3025 </t>
  </si>
  <si>
    <t> 15.12.2008 19:15 </t>
  </si>
  <si>
    <t>38401</t>
  </si>
  <si>
    <t> 16.5699 </t>
  </si>
  <si>
    <t> H.Itoh </t>
  </si>
  <si>
    <t>VSB 48 </t>
  </si>
  <si>
    <t>2454832.8983 </t>
  </si>
  <si>
    <t> 01.01.2009 09:33 </t>
  </si>
  <si>
    <t>38428</t>
  </si>
  <si>
    <t> 16.5685 </t>
  </si>
  <si>
    <t>JAAVSO 37(1);44 </t>
  </si>
  <si>
    <t>2454832.8990 </t>
  </si>
  <si>
    <t> 01.01.2009 09:34 </t>
  </si>
  <si>
    <t> 16.5692 </t>
  </si>
  <si>
    <t> R.Diethelm </t>
  </si>
  <si>
    <t>IBVS 5871 </t>
  </si>
  <si>
    <t>2454882.6914 </t>
  </si>
  <si>
    <t> 20.02.2009 04:35 </t>
  </si>
  <si>
    <t>38509</t>
  </si>
  <si>
    <t> 16.5698 </t>
  </si>
  <si>
    <t>2455257.6702 </t>
  </si>
  <si>
    <t> 02.03.2010 04:05 </t>
  </si>
  <si>
    <t>39119</t>
  </si>
  <si>
    <t> 16.5735 </t>
  </si>
  <si>
    <t> JAAVSO 39;94 </t>
  </si>
  <si>
    <t>2455632.647 </t>
  </si>
  <si>
    <t> 12.03.2011 03:31 </t>
  </si>
  <si>
    <t>39729</t>
  </si>
  <si>
    <t> 16.575 </t>
  </si>
  <si>
    <t> C.Stephan </t>
  </si>
  <si>
    <t>VSB 53 </t>
  </si>
  <si>
    <t>2455643.7061 </t>
  </si>
  <si>
    <t> 23.03.2011 04:56 </t>
  </si>
  <si>
    <t>39747</t>
  </si>
  <si>
    <t> 16.5695 </t>
  </si>
  <si>
    <t>IBVS 5992 </t>
  </si>
  <si>
    <t>2455933.8487 </t>
  </si>
  <si>
    <t> 07.01.2012 08:22 </t>
  </si>
  <si>
    <t>40219</t>
  </si>
  <si>
    <t> 16.5675 </t>
  </si>
  <si>
    <t>IBVS 6011 </t>
  </si>
  <si>
    <t>2455936.9206 </t>
  </si>
  <si>
    <t> 10.01.2012 10:05 </t>
  </si>
  <si>
    <t>40224</t>
  </si>
  <si>
    <t> 16.5658 </t>
  </si>
  <si>
    <t> JAAVSO 41;122 </t>
  </si>
  <si>
    <t>2455986.7114 </t>
  </si>
  <si>
    <t> 29.02.2012 05:04 </t>
  </si>
  <si>
    <t>40305</t>
  </si>
  <si>
    <t> 16.5649 </t>
  </si>
  <si>
    <t>JAVSO..44..164</t>
  </si>
  <si>
    <t>JAVSO..45..215</t>
  </si>
  <si>
    <t>JAVSO..46…79 (2018)</t>
  </si>
  <si>
    <t>s5</t>
  </si>
  <si>
    <t>s6</t>
  </si>
  <si>
    <t>s7</t>
  </si>
  <si>
    <t>JAVSO..46..184</t>
  </si>
  <si>
    <t>JAVSO..47..263</t>
  </si>
  <si>
    <t>JAVSO..48..256</t>
  </si>
  <si>
    <t>JAVSO 49,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</si>
</sst>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8" fillId="0" borderId="1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5" xfId="0" applyBorder="1">
      <alignment vertical="top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horizontal="left"/>
    </xf>
    <xf numFmtId="0" fontId="20" fillId="0" borderId="0" xfId="8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Hya - O-C Diagr.</a:t>
            </a:r>
          </a:p>
        </c:rich>
      </c:tx>
      <c:layout>
        <c:manualLayout>
          <c:xMode val="edge"/>
          <c:yMode val="edge"/>
          <c:x val="0.3913696725409323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6925305939166"/>
          <c:y val="0.14678942920199375"/>
          <c:w val="0.812501180741345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3-49A2-B6CB-C7EF668F96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5.2799998229602352E-5</c:v>
                </c:pt>
                <c:pt idx="1">
                  <c:v>-1.0751199999504024E-2</c:v>
                </c:pt>
                <c:pt idx="2">
                  <c:v>2.5682800001959549E-2</c:v>
                </c:pt>
                <c:pt idx="3">
                  <c:v>-1.8456800000421936E-2</c:v>
                </c:pt>
                <c:pt idx="4">
                  <c:v>1.7977200001041638E-2</c:v>
                </c:pt>
                <c:pt idx="5">
                  <c:v>-1.1000000002240995E-2</c:v>
                </c:pt>
                <c:pt idx="7">
                  <c:v>-3.4566000002087094E-2</c:v>
                </c:pt>
                <c:pt idx="8">
                  <c:v>-4.9403600001824088E-2</c:v>
                </c:pt>
                <c:pt idx="9">
                  <c:v>-8.3808000017597806E-3</c:v>
                </c:pt>
                <c:pt idx="10">
                  <c:v>-1.1482399997476023E-2</c:v>
                </c:pt>
                <c:pt idx="11">
                  <c:v>-6.695600000966806E-3</c:v>
                </c:pt>
                <c:pt idx="12">
                  <c:v>-9.6727999989525415E-3</c:v>
                </c:pt>
                <c:pt idx="13">
                  <c:v>-1.607240000157617E-2</c:v>
                </c:pt>
                <c:pt idx="14">
                  <c:v>-1.2181600002804771E-2</c:v>
                </c:pt>
                <c:pt idx="15">
                  <c:v>-7.1355999971274287E-3</c:v>
                </c:pt>
                <c:pt idx="16">
                  <c:v>-7.7903999990667216E-3</c:v>
                </c:pt>
                <c:pt idx="17">
                  <c:v>-1.6039199996157549E-2</c:v>
                </c:pt>
                <c:pt idx="18">
                  <c:v>-6.2448000026051886E-3</c:v>
                </c:pt>
                <c:pt idx="19">
                  <c:v>-2.4007999993045814E-2</c:v>
                </c:pt>
                <c:pt idx="20">
                  <c:v>-2.1401199999672826E-2</c:v>
                </c:pt>
                <c:pt idx="21">
                  <c:v>-2.7020000001357403E-2</c:v>
                </c:pt>
                <c:pt idx="22">
                  <c:v>-2.6206400005321484E-2</c:v>
                </c:pt>
                <c:pt idx="23">
                  <c:v>-2.4099599999317434E-2</c:v>
                </c:pt>
                <c:pt idx="24">
                  <c:v>-2.3899599997093901E-2</c:v>
                </c:pt>
                <c:pt idx="25">
                  <c:v>-2.4484399997163564E-2</c:v>
                </c:pt>
                <c:pt idx="26">
                  <c:v>-2.6436399995873217E-2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D3-49A2-B6CB-C7EF668F96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27">
                  <c:v>-2.6196399994660169E-2</c:v>
                </c:pt>
                <c:pt idx="30">
                  <c:v>-2.1272599995427299E-2</c:v>
                </c:pt>
                <c:pt idx="34">
                  <c:v>-2.6017199998022988E-2</c:v>
                </c:pt>
                <c:pt idx="43">
                  <c:v>-3.1413200005772524E-2</c:v>
                </c:pt>
                <c:pt idx="44">
                  <c:v>-3.2382400000642519E-2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D3-49A2-B6CB-C7EF668F96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8">
                  <c:v>-2.387079999607522E-2</c:v>
                </c:pt>
                <c:pt idx="29">
                  <c:v>-2.3087200184818357E-2</c:v>
                </c:pt>
                <c:pt idx="31">
                  <c:v>-2.2929200000362471E-2</c:v>
                </c:pt>
                <c:pt idx="32">
                  <c:v>-2.3587199997564312E-2</c:v>
                </c:pt>
                <c:pt idx="33">
                  <c:v>-2.5337999999464955E-2</c:v>
                </c:pt>
                <c:pt idx="35">
                  <c:v>-2.7349600000889041E-2</c:v>
                </c:pt>
                <c:pt idx="36">
                  <c:v>-2.8806000002077781E-2</c:v>
                </c:pt>
                <c:pt idx="37">
                  <c:v>-2.8106000005209353E-2</c:v>
                </c:pt>
                <c:pt idx="38">
                  <c:v>-2.7475199996843003E-2</c:v>
                </c:pt>
                <c:pt idx="39">
                  <c:v>-2.3727200001303572E-2</c:v>
                </c:pt>
                <c:pt idx="40">
                  <c:v>-2.1979199998895638E-2</c:v>
                </c:pt>
                <c:pt idx="41">
                  <c:v>-2.7716799995687325E-2</c:v>
                </c:pt>
                <c:pt idx="42">
                  <c:v>-2.9747199994744733E-2</c:v>
                </c:pt>
                <c:pt idx="45">
                  <c:v>-3.1683599998359568E-2</c:v>
                </c:pt>
                <c:pt idx="46">
                  <c:v>-3.569920000154525E-2</c:v>
                </c:pt>
                <c:pt idx="47">
                  <c:v>-4.0203600001404993E-2</c:v>
                </c:pt>
                <c:pt idx="48">
                  <c:v>-4.0554799998062663E-2</c:v>
                </c:pt>
                <c:pt idx="49">
                  <c:v>-3.6467999998421874E-2</c:v>
                </c:pt>
                <c:pt idx="50">
                  <c:v>-3.7418799998704344E-2</c:v>
                </c:pt>
                <c:pt idx="51">
                  <c:v>-3.9434799997252412E-2</c:v>
                </c:pt>
                <c:pt idx="52">
                  <c:v>-4.3173999998543877E-2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D3-49A2-B6CB-C7EF668F96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D3-49A2-B6CB-C7EF668F96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D3-49A2-B6CB-C7EF668F96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D3-49A2-B6CB-C7EF668F96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2.376634645061073E-2</c:v>
                </c:pt>
                <c:pt idx="1">
                  <c:v>1.6778599196344716E-2</c:v>
                </c:pt>
                <c:pt idx="2">
                  <c:v>1.6772746811709652E-2</c:v>
                </c:pt>
                <c:pt idx="3">
                  <c:v>1.6769235380928612E-2</c:v>
                </c:pt>
                <c:pt idx="4">
                  <c:v>1.6763382996293548E-2</c:v>
                </c:pt>
                <c:pt idx="5">
                  <c:v>1.6738802980826282E-2</c:v>
                </c:pt>
                <c:pt idx="6">
                  <c:v>1.6738802980826282E-2</c:v>
                </c:pt>
                <c:pt idx="7">
                  <c:v>1.6732950596191218E-2</c:v>
                </c:pt>
                <c:pt idx="8">
                  <c:v>1.6711882011504989E-2</c:v>
                </c:pt>
                <c:pt idx="9">
                  <c:v>1.6687301996037723E-2</c:v>
                </c:pt>
                <c:pt idx="10">
                  <c:v>-6.76671466744342E-3</c:v>
                </c:pt>
                <c:pt idx="11">
                  <c:v>-8.2309813031363512E-3</c:v>
                </c:pt>
                <c:pt idx="12">
                  <c:v>-8.2555613186036172E-3</c:v>
                </c:pt>
                <c:pt idx="13">
                  <c:v>-8.902835059241658E-3</c:v>
                </c:pt>
                <c:pt idx="14">
                  <c:v>-8.9391198439790522E-3</c:v>
                </c:pt>
                <c:pt idx="15">
                  <c:v>-1.0220792079057996E-2</c:v>
                </c:pt>
                <c:pt idx="16">
                  <c:v>-1.1671012991626772E-2</c:v>
                </c:pt>
                <c:pt idx="17">
                  <c:v>-1.1710809207145203E-2</c:v>
                </c:pt>
                <c:pt idx="18">
                  <c:v>-1.3183269181327222E-2</c:v>
                </c:pt>
                <c:pt idx="19">
                  <c:v>-2.0060991604454039E-2</c:v>
                </c:pt>
                <c:pt idx="20">
                  <c:v>-2.2871306706211614E-2</c:v>
                </c:pt>
                <c:pt idx="21">
                  <c:v>-2.4052317925567463E-2</c:v>
                </c:pt>
                <c:pt idx="22">
                  <c:v>-2.4113182725772123E-2</c:v>
                </c:pt>
                <c:pt idx="23">
                  <c:v>-2.4289924741751043E-2</c:v>
                </c:pt>
                <c:pt idx="24">
                  <c:v>-2.4289924741751043E-2</c:v>
                </c:pt>
                <c:pt idx="25">
                  <c:v>-2.4891549882235593E-2</c:v>
                </c:pt>
                <c:pt idx="26">
                  <c:v>-2.5605540807713354E-2</c:v>
                </c:pt>
                <c:pt idx="27">
                  <c:v>-2.5664064654063994E-2</c:v>
                </c:pt>
                <c:pt idx="28">
                  <c:v>-2.6415510841206167E-2</c:v>
                </c:pt>
                <c:pt idx="29">
                  <c:v>-2.6798256796339331E-2</c:v>
                </c:pt>
                <c:pt idx="30">
                  <c:v>-2.7014209789373179E-2</c:v>
                </c:pt>
                <c:pt idx="31">
                  <c:v>-2.7014795027836689E-2</c:v>
                </c:pt>
                <c:pt idx="32">
                  <c:v>-2.7090876028092518E-2</c:v>
                </c:pt>
                <c:pt idx="33">
                  <c:v>-2.769835355321212E-2</c:v>
                </c:pt>
                <c:pt idx="34">
                  <c:v>-2.7705376414774201E-2</c:v>
                </c:pt>
                <c:pt idx="35">
                  <c:v>-2.8240284370419016E-2</c:v>
                </c:pt>
                <c:pt idx="36">
                  <c:v>-2.8271887247448359E-2</c:v>
                </c:pt>
                <c:pt idx="37">
                  <c:v>-2.8271887247448359E-2</c:v>
                </c:pt>
                <c:pt idx="38">
                  <c:v>-2.8366695878536397E-2</c:v>
                </c:pt>
                <c:pt idx="39">
                  <c:v>-2.9080686804014159E-2</c:v>
                </c:pt>
                <c:pt idx="40">
                  <c:v>-2.9794677729491927E-2</c:v>
                </c:pt>
                <c:pt idx="41">
                  <c:v>-2.9815746314178156E-2</c:v>
                </c:pt>
                <c:pt idx="42">
                  <c:v>-3.0368211423728166E-2</c:v>
                </c:pt>
                <c:pt idx="43">
                  <c:v>-3.0374063808363234E-2</c:v>
                </c:pt>
                <c:pt idx="44">
                  <c:v>-3.0468872439451265E-2</c:v>
                </c:pt>
                <c:pt idx="45">
                  <c:v>-3.3208958925588075E-2</c:v>
                </c:pt>
                <c:pt idx="46">
                  <c:v>-3.4008394666737773E-2</c:v>
                </c:pt>
                <c:pt idx="47">
                  <c:v>-3.4496483545302076E-2</c:v>
                </c:pt>
                <c:pt idx="48">
                  <c:v>-3.4749306561536825E-2</c:v>
                </c:pt>
                <c:pt idx="49">
                  <c:v>-3.5335715501970205E-2</c:v>
                </c:pt>
                <c:pt idx="50">
                  <c:v>-3.5357954563583455E-2</c:v>
                </c:pt>
                <c:pt idx="51">
                  <c:v>-3.6095355027601472E-2</c:v>
                </c:pt>
                <c:pt idx="52">
                  <c:v>-3.6746140199020547E-2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D3-49A2-B6CB-C7EF668F9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11808"/>
        <c:axId val="1"/>
      </c:scatterChart>
      <c:valAx>
        <c:axId val="942211808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45906761655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4999999999999999E-2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11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35745531808522"/>
          <c:y val="0.9204921861831491"/>
          <c:w val="0.700893950756155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Hya - O-C Diagr.</a:t>
            </a:r>
          </a:p>
        </c:rich>
      </c:tx>
      <c:layout>
        <c:manualLayout>
          <c:xMode val="edge"/>
          <c:yMode val="edge"/>
          <c:x val="0.3913696725409323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36925305939174"/>
          <c:y val="0.14678942920199381"/>
          <c:w val="0.81250118074134536"/>
          <c:h val="0.6299713003252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9D-4CEC-9E48-F497E1EE2C8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5.2799998229602352E-5</c:v>
                </c:pt>
                <c:pt idx="1">
                  <c:v>-1.0751199999504024E-2</c:v>
                </c:pt>
                <c:pt idx="2">
                  <c:v>2.5682800001959549E-2</c:v>
                </c:pt>
                <c:pt idx="3">
                  <c:v>-1.8456800000421936E-2</c:v>
                </c:pt>
                <c:pt idx="4">
                  <c:v>1.7977200001041638E-2</c:v>
                </c:pt>
                <c:pt idx="5">
                  <c:v>-1.1000000002240995E-2</c:v>
                </c:pt>
                <c:pt idx="7">
                  <c:v>-3.4566000002087094E-2</c:v>
                </c:pt>
                <c:pt idx="8">
                  <c:v>-4.9403600001824088E-2</c:v>
                </c:pt>
                <c:pt idx="9">
                  <c:v>-8.3808000017597806E-3</c:v>
                </c:pt>
                <c:pt idx="10">
                  <c:v>-1.1482399997476023E-2</c:v>
                </c:pt>
                <c:pt idx="11">
                  <c:v>-6.695600000966806E-3</c:v>
                </c:pt>
                <c:pt idx="12">
                  <c:v>-9.6727999989525415E-3</c:v>
                </c:pt>
                <c:pt idx="13">
                  <c:v>-1.607240000157617E-2</c:v>
                </c:pt>
                <c:pt idx="14">
                  <c:v>-1.2181600002804771E-2</c:v>
                </c:pt>
                <c:pt idx="15">
                  <c:v>-7.1355999971274287E-3</c:v>
                </c:pt>
                <c:pt idx="16">
                  <c:v>-7.7903999990667216E-3</c:v>
                </c:pt>
                <c:pt idx="17">
                  <c:v>-1.6039199996157549E-2</c:v>
                </c:pt>
                <c:pt idx="18">
                  <c:v>-6.2448000026051886E-3</c:v>
                </c:pt>
                <c:pt idx="19">
                  <c:v>-2.4007999993045814E-2</c:v>
                </c:pt>
                <c:pt idx="20">
                  <c:v>-2.1401199999672826E-2</c:v>
                </c:pt>
                <c:pt idx="21">
                  <c:v>-2.7020000001357403E-2</c:v>
                </c:pt>
                <c:pt idx="22">
                  <c:v>-2.6206400005321484E-2</c:v>
                </c:pt>
                <c:pt idx="23">
                  <c:v>-2.4099599999317434E-2</c:v>
                </c:pt>
                <c:pt idx="24">
                  <c:v>-2.3899599997093901E-2</c:v>
                </c:pt>
                <c:pt idx="25">
                  <c:v>-2.4484399997163564E-2</c:v>
                </c:pt>
                <c:pt idx="26">
                  <c:v>-2.6436399995873217E-2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9D-4CEC-9E48-F497E1EE2C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27">
                  <c:v>-2.6196399994660169E-2</c:v>
                </c:pt>
                <c:pt idx="30">
                  <c:v>-2.1272599995427299E-2</c:v>
                </c:pt>
                <c:pt idx="34">
                  <c:v>-2.6017199998022988E-2</c:v>
                </c:pt>
                <c:pt idx="43">
                  <c:v>-3.1413200005772524E-2</c:v>
                </c:pt>
                <c:pt idx="44">
                  <c:v>-3.2382400000642519E-2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9D-4CEC-9E48-F497E1EE2C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28">
                  <c:v>-2.387079999607522E-2</c:v>
                </c:pt>
                <c:pt idx="29">
                  <c:v>-2.3087200184818357E-2</c:v>
                </c:pt>
                <c:pt idx="31">
                  <c:v>-2.2929200000362471E-2</c:v>
                </c:pt>
                <c:pt idx="32">
                  <c:v>-2.3587199997564312E-2</c:v>
                </c:pt>
                <c:pt idx="33">
                  <c:v>-2.5337999999464955E-2</c:v>
                </c:pt>
                <c:pt idx="35">
                  <c:v>-2.7349600000889041E-2</c:v>
                </c:pt>
                <c:pt idx="36">
                  <c:v>-2.8806000002077781E-2</c:v>
                </c:pt>
                <c:pt idx="37">
                  <c:v>-2.8106000005209353E-2</c:v>
                </c:pt>
                <c:pt idx="38">
                  <c:v>-2.7475199996843003E-2</c:v>
                </c:pt>
                <c:pt idx="39">
                  <c:v>-2.3727200001303572E-2</c:v>
                </c:pt>
                <c:pt idx="40">
                  <c:v>-2.1979199998895638E-2</c:v>
                </c:pt>
                <c:pt idx="41">
                  <c:v>-2.7716799995687325E-2</c:v>
                </c:pt>
                <c:pt idx="42">
                  <c:v>-2.9747199994744733E-2</c:v>
                </c:pt>
                <c:pt idx="45">
                  <c:v>-3.1683599998359568E-2</c:v>
                </c:pt>
                <c:pt idx="46">
                  <c:v>-3.569920000154525E-2</c:v>
                </c:pt>
                <c:pt idx="47">
                  <c:v>-4.0203600001404993E-2</c:v>
                </c:pt>
                <c:pt idx="48">
                  <c:v>-4.0554799998062663E-2</c:v>
                </c:pt>
                <c:pt idx="49">
                  <c:v>-3.6467999998421874E-2</c:v>
                </c:pt>
                <c:pt idx="50">
                  <c:v>-3.7418799998704344E-2</c:v>
                </c:pt>
                <c:pt idx="51">
                  <c:v>-3.9434799997252412E-2</c:v>
                </c:pt>
                <c:pt idx="52">
                  <c:v>-4.3173999998543877E-2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9D-4CEC-9E48-F497E1EE2C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9D-4CEC-9E48-F497E1EE2C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9D-4CEC-9E48-F497E1EE2C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4.0000000000000002E-4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2.9999999999999997E-4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5.0000000000000001E-4</c:v>
                  </c:pt>
                  <c:pt idx="42">
                    <c:v>5.0000000000000001E-4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8.0000000000000004E-4</c:v>
                  </c:pt>
                  <c:pt idx="49">
                    <c:v>2.0000000000000001E-4</c:v>
                  </c:pt>
                  <c:pt idx="50">
                    <c:v>1E-4</c:v>
                  </c:pt>
                  <c:pt idx="51">
                    <c:v>2.9999999999999997E-4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9D-4CEC-9E48-F497E1EE2C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-6004</c:v>
                </c:pt>
                <c:pt idx="1">
                  <c:v>-34</c:v>
                </c:pt>
                <c:pt idx="2">
                  <c:v>-29</c:v>
                </c:pt>
                <c:pt idx="3">
                  <c:v>-26</c:v>
                </c:pt>
                <c:pt idx="4">
                  <c:v>-21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23</c:v>
                </c:pt>
                <c:pt idx="9">
                  <c:v>44</c:v>
                </c:pt>
                <c:pt idx="10">
                  <c:v>20082</c:v>
                </c:pt>
                <c:pt idx="11">
                  <c:v>21333</c:v>
                </c:pt>
                <c:pt idx="12">
                  <c:v>21354</c:v>
                </c:pt>
                <c:pt idx="13">
                  <c:v>21907</c:v>
                </c:pt>
                <c:pt idx="14">
                  <c:v>21938</c:v>
                </c:pt>
                <c:pt idx="15">
                  <c:v>23033</c:v>
                </c:pt>
                <c:pt idx="16">
                  <c:v>24272</c:v>
                </c:pt>
                <c:pt idx="17">
                  <c:v>24306</c:v>
                </c:pt>
                <c:pt idx="18">
                  <c:v>25564</c:v>
                </c:pt>
                <c:pt idx="19">
                  <c:v>31440</c:v>
                </c:pt>
                <c:pt idx="20">
                  <c:v>33841</c:v>
                </c:pt>
                <c:pt idx="21">
                  <c:v>34850</c:v>
                </c:pt>
                <c:pt idx="22">
                  <c:v>34902</c:v>
                </c:pt>
                <c:pt idx="23">
                  <c:v>35053</c:v>
                </c:pt>
                <c:pt idx="24">
                  <c:v>35053</c:v>
                </c:pt>
                <c:pt idx="25">
                  <c:v>35567</c:v>
                </c:pt>
                <c:pt idx="26">
                  <c:v>36177</c:v>
                </c:pt>
                <c:pt idx="27">
                  <c:v>36227</c:v>
                </c:pt>
                <c:pt idx="28">
                  <c:v>36869</c:v>
                </c:pt>
                <c:pt idx="29">
                  <c:v>37196</c:v>
                </c:pt>
                <c:pt idx="30">
                  <c:v>37380.5</c:v>
                </c:pt>
                <c:pt idx="31">
                  <c:v>37381</c:v>
                </c:pt>
                <c:pt idx="32">
                  <c:v>37446</c:v>
                </c:pt>
                <c:pt idx="33">
                  <c:v>37965</c:v>
                </c:pt>
                <c:pt idx="34">
                  <c:v>37971</c:v>
                </c:pt>
                <c:pt idx="35">
                  <c:v>38428</c:v>
                </c:pt>
                <c:pt idx="36">
                  <c:v>38455</c:v>
                </c:pt>
                <c:pt idx="37">
                  <c:v>38455</c:v>
                </c:pt>
                <c:pt idx="38">
                  <c:v>38536</c:v>
                </c:pt>
                <c:pt idx="39">
                  <c:v>39146</c:v>
                </c:pt>
                <c:pt idx="40">
                  <c:v>39756</c:v>
                </c:pt>
                <c:pt idx="41">
                  <c:v>39774</c:v>
                </c:pt>
                <c:pt idx="42">
                  <c:v>40246</c:v>
                </c:pt>
                <c:pt idx="43">
                  <c:v>40251</c:v>
                </c:pt>
                <c:pt idx="44">
                  <c:v>40332</c:v>
                </c:pt>
                <c:pt idx="45">
                  <c:v>42673</c:v>
                </c:pt>
                <c:pt idx="46">
                  <c:v>43356</c:v>
                </c:pt>
                <c:pt idx="47">
                  <c:v>43773</c:v>
                </c:pt>
                <c:pt idx="48">
                  <c:v>43989</c:v>
                </c:pt>
                <c:pt idx="49">
                  <c:v>44490</c:v>
                </c:pt>
                <c:pt idx="50">
                  <c:v>44509</c:v>
                </c:pt>
                <c:pt idx="51">
                  <c:v>45139</c:v>
                </c:pt>
                <c:pt idx="52">
                  <c:v>45695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2.376634645061073E-2</c:v>
                </c:pt>
                <c:pt idx="1">
                  <c:v>1.6778599196344716E-2</c:v>
                </c:pt>
                <c:pt idx="2">
                  <c:v>1.6772746811709652E-2</c:v>
                </c:pt>
                <c:pt idx="3">
                  <c:v>1.6769235380928612E-2</c:v>
                </c:pt>
                <c:pt idx="4">
                  <c:v>1.6763382996293548E-2</c:v>
                </c:pt>
                <c:pt idx="5">
                  <c:v>1.6738802980826282E-2</c:v>
                </c:pt>
                <c:pt idx="6">
                  <c:v>1.6738802980826282E-2</c:v>
                </c:pt>
                <c:pt idx="7">
                  <c:v>1.6732950596191218E-2</c:v>
                </c:pt>
                <c:pt idx="8">
                  <c:v>1.6711882011504989E-2</c:v>
                </c:pt>
                <c:pt idx="9">
                  <c:v>1.6687301996037723E-2</c:v>
                </c:pt>
                <c:pt idx="10">
                  <c:v>-6.76671466744342E-3</c:v>
                </c:pt>
                <c:pt idx="11">
                  <c:v>-8.2309813031363512E-3</c:v>
                </c:pt>
                <c:pt idx="12">
                  <c:v>-8.2555613186036172E-3</c:v>
                </c:pt>
                <c:pt idx="13">
                  <c:v>-8.902835059241658E-3</c:v>
                </c:pt>
                <c:pt idx="14">
                  <c:v>-8.9391198439790522E-3</c:v>
                </c:pt>
                <c:pt idx="15">
                  <c:v>-1.0220792079057996E-2</c:v>
                </c:pt>
                <c:pt idx="16">
                  <c:v>-1.1671012991626772E-2</c:v>
                </c:pt>
                <c:pt idx="17">
                  <c:v>-1.1710809207145203E-2</c:v>
                </c:pt>
                <c:pt idx="18">
                  <c:v>-1.3183269181327222E-2</c:v>
                </c:pt>
                <c:pt idx="19">
                  <c:v>-2.0060991604454039E-2</c:v>
                </c:pt>
                <c:pt idx="20">
                  <c:v>-2.2871306706211614E-2</c:v>
                </c:pt>
                <c:pt idx="21">
                  <c:v>-2.4052317925567463E-2</c:v>
                </c:pt>
                <c:pt idx="22">
                  <c:v>-2.4113182725772123E-2</c:v>
                </c:pt>
                <c:pt idx="23">
                  <c:v>-2.4289924741751043E-2</c:v>
                </c:pt>
                <c:pt idx="24">
                  <c:v>-2.4289924741751043E-2</c:v>
                </c:pt>
                <c:pt idx="25">
                  <c:v>-2.4891549882235593E-2</c:v>
                </c:pt>
                <c:pt idx="26">
                  <c:v>-2.5605540807713354E-2</c:v>
                </c:pt>
                <c:pt idx="27">
                  <c:v>-2.5664064654063994E-2</c:v>
                </c:pt>
                <c:pt idx="28">
                  <c:v>-2.6415510841206167E-2</c:v>
                </c:pt>
                <c:pt idx="29">
                  <c:v>-2.6798256796339331E-2</c:v>
                </c:pt>
                <c:pt idx="30">
                  <c:v>-2.7014209789373179E-2</c:v>
                </c:pt>
                <c:pt idx="31">
                  <c:v>-2.7014795027836689E-2</c:v>
                </c:pt>
                <c:pt idx="32">
                  <c:v>-2.7090876028092518E-2</c:v>
                </c:pt>
                <c:pt idx="33">
                  <c:v>-2.769835355321212E-2</c:v>
                </c:pt>
                <c:pt idx="34">
                  <c:v>-2.7705376414774201E-2</c:v>
                </c:pt>
                <c:pt idx="35">
                  <c:v>-2.8240284370419016E-2</c:v>
                </c:pt>
                <c:pt idx="36">
                  <c:v>-2.8271887247448359E-2</c:v>
                </c:pt>
                <c:pt idx="37">
                  <c:v>-2.8271887247448359E-2</c:v>
                </c:pt>
                <c:pt idx="38">
                  <c:v>-2.8366695878536397E-2</c:v>
                </c:pt>
                <c:pt idx="39">
                  <c:v>-2.9080686804014159E-2</c:v>
                </c:pt>
                <c:pt idx="40">
                  <c:v>-2.9794677729491927E-2</c:v>
                </c:pt>
                <c:pt idx="41">
                  <c:v>-2.9815746314178156E-2</c:v>
                </c:pt>
                <c:pt idx="42">
                  <c:v>-3.0368211423728166E-2</c:v>
                </c:pt>
                <c:pt idx="43">
                  <c:v>-3.0374063808363234E-2</c:v>
                </c:pt>
                <c:pt idx="44">
                  <c:v>-3.0468872439451265E-2</c:v>
                </c:pt>
                <c:pt idx="45">
                  <c:v>-3.3208958925588075E-2</c:v>
                </c:pt>
                <c:pt idx="46">
                  <c:v>-3.4008394666737773E-2</c:v>
                </c:pt>
                <c:pt idx="47">
                  <c:v>-3.4496483545302076E-2</c:v>
                </c:pt>
                <c:pt idx="48">
                  <c:v>-3.4749306561536825E-2</c:v>
                </c:pt>
                <c:pt idx="49">
                  <c:v>-3.5335715501970205E-2</c:v>
                </c:pt>
                <c:pt idx="50">
                  <c:v>-3.5357954563583455E-2</c:v>
                </c:pt>
                <c:pt idx="51">
                  <c:v>-3.6095355027601472E-2</c:v>
                </c:pt>
                <c:pt idx="52">
                  <c:v>-3.6746140199020547E-2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9D-4CEC-9E48-F497E1EE2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206560"/>
        <c:axId val="1"/>
      </c:scatterChart>
      <c:valAx>
        <c:axId val="94220656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45906761655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4.0000000000000015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0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35745531808522"/>
          <c:y val="0.9204921861831491"/>
          <c:w val="0.700893950756155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B5BBA211-AF0F-2003-1487-30359CFCC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0</xdr:rowOff>
    </xdr:from>
    <xdr:to>
      <xdr:col>26</xdr:col>
      <xdr:colOff>638175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6A8D18C3-C349-FF3F-8EAF-4784449AC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7n1/44.pdf" TargetMode="External"/><Relationship Id="rId13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5806" TargetMode="External"/><Relationship Id="rId7" Type="http://schemas.openxmlformats.org/officeDocument/2006/relationships/hyperlink" Target="http://vsolj.cetus-net.org/no48.pdf" TargetMode="External"/><Relationship Id="rId12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aavso.org/sites/default/files/jaavso/v37n1/44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workbookViewId="0">
      <pane xSplit="14" ySplit="22" topLeftCell="O61" activePane="bottomRight" state="frozen"/>
      <selection pane="topRight" activeCell="O1" sqref="O1"/>
      <selection pane="bottomLeft" activeCell="A23" sqref="A23"/>
      <selection pane="bottomRight" activeCell="C18" sqref="C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28</v>
      </c>
    </row>
    <row r="2" spans="1:6" x14ac:dyDescent="0.2">
      <c r="A2" t="s">
        <v>24</v>
      </c>
      <c r="B2" s="13" t="s">
        <v>26</v>
      </c>
    </row>
    <row r="4" spans="1:6" ht="14.25" thickTop="1" thickBot="1" x14ac:dyDescent="0.25">
      <c r="A4" s="7" t="s">
        <v>0</v>
      </c>
      <c r="C4" s="3">
        <v>31194.131000000001</v>
      </c>
      <c r="D4" s="4">
        <v>0.61471319999999996</v>
      </c>
    </row>
    <row r="5" spans="1:6" ht="13.5" thickTop="1" x14ac:dyDescent="0.2">
      <c r="A5" s="14" t="s">
        <v>29</v>
      </c>
      <c r="B5" s="15"/>
      <c r="C5" s="16">
        <v>-9.5</v>
      </c>
      <c r="D5" s="15" t="s">
        <v>30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31194.131000000001</v>
      </c>
    </row>
    <row r="8" spans="1:6" x14ac:dyDescent="0.2">
      <c r="A8" t="s">
        <v>3</v>
      </c>
      <c r="C8">
        <f>+D4</f>
        <v>0.61471319999999996</v>
      </c>
    </row>
    <row r="9" spans="1:6" x14ac:dyDescent="0.2">
      <c r="A9" s="31" t="s">
        <v>37</v>
      </c>
      <c r="B9" s="32">
        <v>31</v>
      </c>
      <c r="C9" s="30" t="str">
        <f>"F"&amp;B9</f>
        <v>F31</v>
      </c>
      <c r="D9" s="28" t="str">
        <f>"G"&amp;B9</f>
        <v>G31</v>
      </c>
    </row>
    <row r="10" spans="1:6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6" x14ac:dyDescent="0.2">
      <c r="A11" s="15" t="s">
        <v>16</v>
      </c>
      <c r="B11" s="15"/>
      <c r="C11" s="29">
        <f ca="1">INTERCEPT(INDIRECT($D$9):G988,INDIRECT($C$9):F988)</f>
        <v>1.6738802980826282E-2</v>
      </c>
      <c r="D11" s="5"/>
      <c r="E11" s="15"/>
    </row>
    <row r="12" spans="1:6" x14ac:dyDescent="0.2">
      <c r="A12" s="15" t="s">
        <v>17</v>
      </c>
      <c r="B12" s="15"/>
      <c r="C12" s="29">
        <f ca="1">SLOPE(INDIRECT($D$9):G988,INDIRECT($C$9):F988)</f>
        <v>-1.1704769270127329E-6</v>
      </c>
      <c r="D12" s="5"/>
      <c r="E12" s="15"/>
    </row>
    <row r="13" spans="1:6" x14ac:dyDescent="0.2">
      <c r="A13" s="15" t="s">
        <v>19</v>
      </c>
      <c r="B13" s="15"/>
      <c r="C13" s="5" t="s">
        <v>14</v>
      </c>
    </row>
    <row r="14" spans="1:6" x14ac:dyDescent="0.2">
      <c r="A14" s="15"/>
      <c r="B14" s="15"/>
      <c r="C14" s="15"/>
    </row>
    <row r="15" spans="1:6" x14ac:dyDescent="0.2">
      <c r="A15" s="17" t="s">
        <v>18</v>
      </c>
      <c r="B15" s="15"/>
      <c r="C15" s="18">
        <f ca="1">(C7+C11)+(C8+C12)*INT(MAX(F21:F3529))</f>
        <v>59283.413927859801</v>
      </c>
      <c r="E15" s="19" t="s">
        <v>40</v>
      </c>
      <c r="F15" s="16">
        <v>1</v>
      </c>
    </row>
    <row r="16" spans="1:6" x14ac:dyDescent="0.2">
      <c r="A16" s="21" t="s">
        <v>4</v>
      </c>
      <c r="B16" s="15"/>
      <c r="C16" s="22">
        <f ca="1">+C8+C12</f>
        <v>0.61471202952307291</v>
      </c>
      <c r="E16" s="19" t="s">
        <v>31</v>
      </c>
      <c r="F16" s="20">
        <f ca="1">NOW()+15018.5+$C$5/24</f>
        <v>59960.780974884256</v>
      </c>
    </row>
    <row r="17" spans="1:17" ht="13.5" thickBot="1" x14ac:dyDescent="0.25">
      <c r="A17" s="19" t="s">
        <v>27</v>
      </c>
      <c r="B17" s="15"/>
      <c r="C17" s="15">
        <f>COUNT(C21:C2187)</f>
        <v>53</v>
      </c>
      <c r="E17" s="19" t="s">
        <v>41</v>
      </c>
      <c r="F17" s="20">
        <f ca="1">ROUND(2*(F16-$C$7)/$C$8,0)/2+F15</f>
        <v>46798</v>
      </c>
    </row>
    <row r="18" spans="1:17" ht="14.25" thickTop="1" thickBot="1" x14ac:dyDescent="0.25">
      <c r="A18" s="21" t="s">
        <v>5</v>
      </c>
      <c r="B18" s="15"/>
      <c r="C18" s="24">
        <f ca="1">+C15</f>
        <v>59283.413927859801</v>
      </c>
      <c r="D18" s="25">
        <f ca="1">+C16</f>
        <v>0.61471202952307291</v>
      </c>
      <c r="E18" s="19" t="s">
        <v>32</v>
      </c>
      <c r="F18" s="28">
        <f ca="1">ROUND(2*(F16-$C$15)/$C$16,0)/2+F15</f>
        <v>1103</v>
      </c>
    </row>
    <row r="19" spans="1:17" ht="13.5" thickTop="1" x14ac:dyDescent="0.2">
      <c r="E19" s="19" t="s">
        <v>33</v>
      </c>
      <c r="F19" s="23">
        <f ca="1">+$C$15+$C$16*F18-15018.5-$C$5/24</f>
        <v>44943.337129757085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55</v>
      </c>
      <c r="I20" s="9" t="s">
        <v>58</v>
      </c>
      <c r="J20" s="9" t="s">
        <v>52</v>
      </c>
      <c r="K20" s="9" t="s">
        <v>50</v>
      </c>
      <c r="L20" s="9" t="s">
        <v>244</v>
      </c>
      <c r="M20" s="9" t="s">
        <v>245</v>
      </c>
      <c r="N20" s="9" t="s">
        <v>246</v>
      </c>
      <c r="O20" s="9" t="s">
        <v>23</v>
      </c>
      <c r="P20" s="8" t="s">
        <v>22</v>
      </c>
      <c r="Q20" s="6" t="s">
        <v>15</v>
      </c>
    </row>
    <row r="21" spans="1:17" x14ac:dyDescent="0.2">
      <c r="A21" s="53" t="s">
        <v>64</v>
      </c>
      <c r="B21" s="52" t="s">
        <v>36</v>
      </c>
      <c r="C21" s="53">
        <v>27503.393</v>
      </c>
      <c r="D21" s="53" t="s">
        <v>58</v>
      </c>
      <c r="E21">
        <f>+(C21-C$7)/C$8</f>
        <v>-6003.9999141062881</v>
      </c>
      <c r="F21">
        <f>ROUND(2*E21,0)/2</f>
        <v>-6004</v>
      </c>
      <c r="G21">
        <f>+C21-(C$7+F21*C$8)</f>
        <v>5.2799998229602352E-5</v>
      </c>
      <c r="I21">
        <f>+G21</f>
        <v>5.2799998229602352E-5</v>
      </c>
      <c r="O21">
        <f ca="1">+C$11+C$12*$F21</f>
        <v>2.376634645061073E-2</v>
      </c>
      <c r="Q21" s="2">
        <f>+C21-15018.5</f>
        <v>12484.893</v>
      </c>
    </row>
    <row r="22" spans="1:17" x14ac:dyDescent="0.2">
      <c r="A22" s="53" t="s">
        <v>69</v>
      </c>
      <c r="B22" s="52" t="s">
        <v>36</v>
      </c>
      <c r="C22" s="53">
        <v>31173.22</v>
      </c>
      <c r="D22" s="53" t="s">
        <v>58</v>
      </c>
      <c r="E22">
        <f>+(C22-C$7)/C$8</f>
        <v>-34.017489782226995</v>
      </c>
      <c r="F22">
        <f>ROUND(2*E22,0)/2</f>
        <v>-34</v>
      </c>
      <c r="G22">
        <f>+C22-(C$7+F22*C$8)</f>
        <v>-1.0751199999504024E-2</v>
      </c>
      <c r="I22">
        <f>+G22</f>
        <v>-1.0751199999504024E-2</v>
      </c>
      <c r="O22">
        <f ca="1">+C$11+C$12*$F22</f>
        <v>1.6778599196344716E-2</v>
      </c>
      <c r="Q22" s="2">
        <f>+C22-15018.5</f>
        <v>16154.720000000001</v>
      </c>
    </row>
    <row r="23" spans="1:17" x14ac:dyDescent="0.2">
      <c r="A23" s="53" t="s">
        <v>69</v>
      </c>
      <c r="B23" s="52" t="s">
        <v>36</v>
      </c>
      <c r="C23" s="53">
        <v>31176.33</v>
      </c>
      <c r="D23" s="53" t="s">
        <v>58</v>
      </c>
      <c r="E23">
        <f>+(C23-C$7)/C$8</f>
        <v>-28.958219865783715</v>
      </c>
      <c r="F23">
        <f>ROUND(2*E23,0)/2</f>
        <v>-29</v>
      </c>
      <c r="G23">
        <f>+C23-(C$7+F23*C$8)</f>
        <v>2.5682800001959549E-2</v>
      </c>
      <c r="I23">
        <f>+G23</f>
        <v>2.5682800001959549E-2</v>
      </c>
      <c r="O23">
        <f ca="1">+C$11+C$12*$F23</f>
        <v>1.6772746811709652E-2</v>
      </c>
      <c r="Q23" s="2">
        <f>+C23-15018.5</f>
        <v>16157.830000000002</v>
      </c>
    </row>
    <row r="24" spans="1:17" x14ac:dyDescent="0.2">
      <c r="A24" s="53" t="s">
        <v>69</v>
      </c>
      <c r="B24" s="52" t="s">
        <v>36</v>
      </c>
      <c r="C24" s="53">
        <v>31178.13</v>
      </c>
      <c r="D24" s="53" t="s">
        <v>58</v>
      </c>
      <c r="E24">
        <f>+(C24-C$7)/C$8</f>
        <v>-26.030025058840781</v>
      </c>
      <c r="F24">
        <f>ROUND(2*E24,0)/2</f>
        <v>-26</v>
      </c>
      <c r="G24">
        <f>+C24-(C$7+F24*C$8)</f>
        <v>-1.8456800000421936E-2</v>
      </c>
      <c r="I24">
        <f>+G24</f>
        <v>-1.8456800000421936E-2</v>
      </c>
      <c r="O24">
        <f ca="1">+C$11+C$12*$F24</f>
        <v>1.6769235380928612E-2</v>
      </c>
      <c r="Q24" s="2">
        <f>+C24-15018.5</f>
        <v>16159.630000000001</v>
      </c>
    </row>
    <row r="25" spans="1:17" x14ac:dyDescent="0.2">
      <c r="A25" s="53" t="s">
        <v>69</v>
      </c>
      <c r="B25" s="52" t="s">
        <v>36</v>
      </c>
      <c r="C25" s="53">
        <v>31181.24</v>
      </c>
      <c r="D25" s="53" t="s">
        <v>58</v>
      </c>
      <c r="E25">
        <f>+(C25-C$7)/C$8</f>
        <v>-20.9707551423975</v>
      </c>
      <c r="F25">
        <f>ROUND(2*E25,0)/2</f>
        <v>-21</v>
      </c>
      <c r="G25">
        <f>+C25-(C$7+F25*C$8)</f>
        <v>1.7977200001041638E-2</v>
      </c>
      <c r="I25">
        <f>+G25</f>
        <v>1.7977200001041638E-2</v>
      </c>
      <c r="O25">
        <f ca="1">+C$11+C$12*$F25</f>
        <v>1.6763382996293548E-2</v>
      </c>
      <c r="Q25" s="2">
        <f>+C25-15018.5</f>
        <v>16162.740000000002</v>
      </c>
    </row>
    <row r="26" spans="1:17" x14ac:dyDescent="0.2">
      <c r="A26" s="53" t="s">
        <v>69</v>
      </c>
      <c r="B26" s="52" t="s">
        <v>36</v>
      </c>
      <c r="C26" s="53">
        <v>31194.12</v>
      </c>
      <c r="D26" s="53" t="s">
        <v>58</v>
      </c>
      <c r="E26">
        <f>+(C26-C$7)/C$8</f>
        <v>-1.7894523823859639E-2</v>
      </c>
      <c r="F26">
        <f>ROUND(2*E26,0)/2</f>
        <v>0</v>
      </c>
      <c r="G26">
        <f>+C26-(C$7+F26*C$8)</f>
        <v>-1.1000000002240995E-2</v>
      </c>
      <c r="I26">
        <f>+G26</f>
        <v>-1.1000000002240995E-2</v>
      </c>
      <c r="O26">
        <f ca="1">+C$11+C$12*$F26</f>
        <v>1.6738802980826282E-2</v>
      </c>
      <c r="Q26" s="2">
        <f>+C26-15018.5</f>
        <v>16175.619999999999</v>
      </c>
    </row>
    <row r="27" spans="1:17" x14ac:dyDescent="0.2">
      <c r="A27" t="s">
        <v>12</v>
      </c>
      <c r="C27" s="12">
        <v>31194.131000000001</v>
      </c>
      <c r="D27" s="12" t="s">
        <v>14</v>
      </c>
      <c r="E27">
        <f>+(C27-C$7)/C$8</f>
        <v>0</v>
      </c>
      <c r="F27">
        <f>ROUND(2*E27,0)/2</f>
        <v>0</v>
      </c>
      <c r="H27" s="28">
        <v>0</v>
      </c>
      <c r="O27">
        <f ca="1">+C$11+C$12*$F27</f>
        <v>1.6738802980826282E-2</v>
      </c>
      <c r="Q27" s="2">
        <f>+C27-15018.5</f>
        <v>16175.631000000001</v>
      </c>
    </row>
    <row r="28" spans="1:17" x14ac:dyDescent="0.2">
      <c r="A28" s="53" t="s">
        <v>69</v>
      </c>
      <c r="B28" s="52" t="s">
        <v>36</v>
      </c>
      <c r="C28" s="53">
        <v>31197.17</v>
      </c>
      <c r="D28" s="53" t="s">
        <v>58</v>
      </c>
      <c r="E28">
        <f>+(C28-C$7)/C$8</f>
        <v>4.943768899052488</v>
      </c>
      <c r="F28">
        <f>ROUND(2*E28,0)/2</f>
        <v>5</v>
      </c>
      <c r="G28">
        <f>+C28-(C$7+F28*C$8)</f>
        <v>-3.4566000002087094E-2</v>
      </c>
      <c r="I28">
        <f>+G28</f>
        <v>-3.4566000002087094E-2</v>
      </c>
      <c r="O28">
        <f ca="1">+C$11+C$12*$F28</f>
        <v>1.6732950596191218E-2</v>
      </c>
      <c r="Q28" s="2">
        <f>+C28-15018.5</f>
        <v>16178.669999999998</v>
      </c>
    </row>
    <row r="29" spans="1:17" x14ac:dyDescent="0.2">
      <c r="A29" s="53" t="s">
        <v>69</v>
      </c>
      <c r="B29" s="52" t="s">
        <v>36</v>
      </c>
      <c r="C29" s="53">
        <v>31208.22</v>
      </c>
      <c r="D29" s="53" t="s">
        <v>58</v>
      </c>
      <c r="E29">
        <f>+(C29-C$7)/C$8</f>
        <v>22.919631463908605</v>
      </c>
      <c r="F29">
        <f>ROUND(2*E29,0)/2</f>
        <v>23</v>
      </c>
      <c r="G29">
        <f>+C29-(C$7+F29*C$8)</f>
        <v>-4.9403600001824088E-2</v>
      </c>
      <c r="I29">
        <f>+G29</f>
        <v>-4.9403600001824088E-2</v>
      </c>
      <c r="O29">
        <f ca="1">+C$11+C$12*$F29</f>
        <v>1.6711882011504989E-2</v>
      </c>
      <c r="Q29" s="2">
        <f>+C29-15018.5</f>
        <v>16189.720000000001</v>
      </c>
    </row>
    <row r="30" spans="1:17" x14ac:dyDescent="0.2">
      <c r="A30" s="53" t="s">
        <v>69</v>
      </c>
      <c r="B30" s="52" t="s">
        <v>36</v>
      </c>
      <c r="C30" s="53">
        <v>31221.17</v>
      </c>
      <c r="D30" s="53" t="s">
        <v>58</v>
      </c>
      <c r="E30">
        <f>+(C30-C$7)/C$8</f>
        <v>43.986366324974043</v>
      </c>
      <c r="F30">
        <f>ROUND(2*E30,0)/2</f>
        <v>44</v>
      </c>
      <c r="G30">
        <f>+C30-(C$7+F30*C$8)</f>
        <v>-8.3808000017597806E-3</v>
      </c>
      <c r="I30">
        <f>+G30</f>
        <v>-8.3808000017597806E-3</v>
      </c>
      <c r="O30">
        <f ca="1">+C$11+C$12*$F30</f>
        <v>1.6687301996037723E-2</v>
      </c>
      <c r="Q30" s="2">
        <f>+C30-15018.5</f>
        <v>16202.669999999998</v>
      </c>
    </row>
    <row r="31" spans="1:17" x14ac:dyDescent="0.2">
      <c r="A31" s="53" t="s">
        <v>93</v>
      </c>
      <c r="B31" s="52" t="s">
        <v>36</v>
      </c>
      <c r="C31" s="53">
        <v>43538.79</v>
      </c>
      <c r="D31" s="53" t="s">
        <v>58</v>
      </c>
      <c r="E31">
        <f>+(C31-C$7)/C$8</f>
        <v>20081.981320719973</v>
      </c>
      <c r="F31">
        <f>ROUND(2*E31,0)/2</f>
        <v>20082</v>
      </c>
      <c r="G31">
        <f>+C31-(C$7+F31*C$8)</f>
        <v>-1.1482399997476023E-2</v>
      </c>
      <c r="I31">
        <f>+G31</f>
        <v>-1.1482399997476023E-2</v>
      </c>
      <c r="O31">
        <f ca="1">+C$11+C$12*$F31</f>
        <v>-6.76671466744342E-3</v>
      </c>
      <c r="Q31" s="2">
        <f>+C31-15018.5</f>
        <v>28520.29</v>
      </c>
    </row>
    <row r="32" spans="1:17" x14ac:dyDescent="0.2">
      <c r="A32" s="53" t="s">
        <v>93</v>
      </c>
      <c r="B32" s="52" t="s">
        <v>36</v>
      </c>
      <c r="C32" s="53">
        <v>44307.800999999999</v>
      </c>
      <c r="D32" s="53" t="s">
        <v>58</v>
      </c>
      <c r="E32">
        <f>+(C32-C$7)/C$8</f>
        <v>21332.989107766025</v>
      </c>
      <c r="F32">
        <f>ROUND(2*E32,0)/2</f>
        <v>21333</v>
      </c>
      <c r="G32">
        <f>+C32-(C$7+F32*C$8)</f>
        <v>-6.695600000966806E-3</v>
      </c>
      <c r="I32">
        <f>+G32</f>
        <v>-6.695600000966806E-3</v>
      </c>
      <c r="O32">
        <f ca="1">+C$11+C$12*$F32</f>
        <v>-8.2309813031363512E-3</v>
      </c>
      <c r="Q32" s="2">
        <f>+C32-15018.5</f>
        <v>29289.300999999999</v>
      </c>
    </row>
    <row r="33" spans="1:18" x14ac:dyDescent="0.2">
      <c r="A33" s="53" t="s">
        <v>93</v>
      </c>
      <c r="B33" s="52" t="s">
        <v>36</v>
      </c>
      <c r="C33" s="53">
        <v>44320.707000000002</v>
      </c>
      <c r="D33" s="53" t="s">
        <v>58</v>
      </c>
      <c r="E33">
        <f>+(C33-C$7)/C$8</f>
        <v>21353.98426453182</v>
      </c>
      <c r="F33">
        <f>ROUND(2*E33,0)/2</f>
        <v>21354</v>
      </c>
      <c r="G33">
        <f>+C33-(C$7+F33*C$8)</f>
        <v>-9.6727999989525415E-3</v>
      </c>
      <c r="I33">
        <f>+G33</f>
        <v>-9.6727999989525415E-3</v>
      </c>
      <c r="O33">
        <f ca="1">+C$11+C$12*$F33</f>
        <v>-8.2555613186036172E-3</v>
      </c>
      <c r="Q33" s="2">
        <f>+C33-15018.5</f>
        <v>29302.207000000002</v>
      </c>
    </row>
    <row r="34" spans="1:18" x14ac:dyDescent="0.2">
      <c r="A34" s="53" t="s">
        <v>93</v>
      </c>
      <c r="B34" s="52" t="s">
        <v>36</v>
      </c>
      <c r="C34" s="53">
        <v>44660.637000000002</v>
      </c>
      <c r="D34" s="53" t="s">
        <v>58</v>
      </c>
      <c r="E34">
        <f>+(C34-C$7)/C$8</f>
        <v>21906.973853823216</v>
      </c>
      <c r="F34">
        <f>ROUND(2*E34,0)/2</f>
        <v>21907</v>
      </c>
      <c r="G34">
        <f>+C34-(C$7+F34*C$8)</f>
        <v>-1.607240000157617E-2</v>
      </c>
      <c r="I34">
        <f>+G34</f>
        <v>-1.607240000157617E-2</v>
      </c>
      <c r="O34">
        <f ca="1">+C$11+C$12*$F34</f>
        <v>-8.902835059241658E-3</v>
      </c>
      <c r="Q34" s="2">
        <f>+C34-15018.5</f>
        <v>29642.137000000002</v>
      </c>
    </row>
    <row r="35" spans="1:18" x14ac:dyDescent="0.2">
      <c r="A35" s="53" t="s">
        <v>93</v>
      </c>
      <c r="B35" s="52" t="s">
        <v>36</v>
      </c>
      <c r="C35" s="53">
        <v>44679.697</v>
      </c>
      <c r="D35" s="53" t="s">
        <v>58</v>
      </c>
      <c r="E35">
        <f>+(C35-C$7)/C$8</f>
        <v>21937.980183278967</v>
      </c>
      <c r="F35">
        <f>ROUND(2*E35,0)/2</f>
        <v>21938</v>
      </c>
      <c r="G35">
        <f>+C35-(C$7+F35*C$8)</f>
        <v>-1.2181600002804771E-2</v>
      </c>
      <c r="I35">
        <f>+G35</f>
        <v>-1.2181600002804771E-2</v>
      </c>
      <c r="O35">
        <f ca="1">+C$11+C$12*$F35</f>
        <v>-8.9391198439790522E-3</v>
      </c>
      <c r="Q35" s="2">
        <f>+C35-15018.5</f>
        <v>29661.197</v>
      </c>
    </row>
    <row r="36" spans="1:18" x14ac:dyDescent="0.2">
      <c r="A36" s="53" t="s">
        <v>93</v>
      </c>
      <c r="B36" s="52" t="s">
        <v>36</v>
      </c>
      <c r="C36" s="53">
        <v>45352.813000000002</v>
      </c>
      <c r="D36" s="53" t="s">
        <v>58</v>
      </c>
      <c r="E36">
        <f>+(C36-C$7)/C$8</f>
        <v>23032.988391985076</v>
      </c>
      <c r="F36">
        <f>ROUND(2*E36,0)/2</f>
        <v>23033</v>
      </c>
      <c r="G36">
        <f>+C36-(C$7+F36*C$8)</f>
        <v>-7.1355999971274287E-3</v>
      </c>
      <c r="I36">
        <f>+G36</f>
        <v>-7.1355999971274287E-3</v>
      </c>
      <c r="O36">
        <f ca="1">+C$11+C$12*$F36</f>
        <v>-1.0220792079057996E-2</v>
      </c>
      <c r="Q36" s="2">
        <f>+C36-15018.5</f>
        <v>30334.313000000002</v>
      </c>
    </row>
    <row r="37" spans="1:18" x14ac:dyDescent="0.2">
      <c r="A37" s="53" t="s">
        <v>112</v>
      </c>
      <c r="B37" s="52" t="s">
        <v>36</v>
      </c>
      <c r="C37" s="53">
        <v>46114.442000000003</v>
      </c>
      <c r="D37" s="53" t="s">
        <v>58</v>
      </c>
      <c r="E37">
        <f>+(C37-C$7)/C$8</f>
        <v>24271.98732677288</v>
      </c>
      <c r="F37">
        <f>ROUND(2*E37,0)/2</f>
        <v>24272</v>
      </c>
      <c r="G37">
        <f>+C37-(C$7+F37*C$8)</f>
        <v>-7.7903999990667216E-3</v>
      </c>
      <c r="I37">
        <f>+G37</f>
        <v>-7.7903999990667216E-3</v>
      </c>
      <c r="O37">
        <f ca="1">+C$11+C$12*$F37</f>
        <v>-1.1671012991626772E-2</v>
      </c>
      <c r="Q37" s="2">
        <f>+C37-15018.5</f>
        <v>31095.942000000003</v>
      </c>
    </row>
    <row r="38" spans="1:18" x14ac:dyDescent="0.2">
      <c r="A38" s="53" t="s">
        <v>112</v>
      </c>
      <c r="B38" s="52" t="s">
        <v>36</v>
      </c>
      <c r="C38" s="53">
        <v>46135.334000000003</v>
      </c>
      <c r="D38" s="53" t="s">
        <v>58</v>
      </c>
      <c r="E38">
        <f>+(C38-C$7)/C$8</f>
        <v>24305.973907832144</v>
      </c>
      <c r="F38">
        <f>ROUND(2*E38,0)/2</f>
        <v>24306</v>
      </c>
      <c r="G38">
        <f>+C38-(C$7+F38*C$8)</f>
        <v>-1.6039199996157549E-2</v>
      </c>
      <c r="I38">
        <f>+G38</f>
        <v>-1.6039199996157549E-2</v>
      </c>
      <c r="O38">
        <f ca="1">+C$11+C$12*$F38</f>
        <v>-1.1710809207145203E-2</v>
      </c>
      <c r="Q38" s="2">
        <f>+C38-15018.5</f>
        <v>31116.834000000003</v>
      </c>
    </row>
    <row r="39" spans="1:18" x14ac:dyDescent="0.2">
      <c r="A39" s="53" t="s">
        <v>93</v>
      </c>
      <c r="B39" s="52" t="s">
        <v>36</v>
      </c>
      <c r="C39" s="53">
        <v>46908.652999999998</v>
      </c>
      <c r="D39" s="53" t="s">
        <v>58</v>
      </c>
      <c r="E39">
        <f>+(C39-C$7)/C$8</f>
        <v>25563.989841116148</v>
      </c>
      <c r="F39">
        <f>ROUND(2*E39,0)/2</f>
        <v>25564</v>
      </c>
      <c r="G39">
        <f>+C39-(C$7+F39*C$8)</f>
        <v>-6.2448000026051886E-3</v>
      </c>
      <c r="I39">
        <f>+G39</f>
        <v>-6.2448000026051886E-3</v>
      </c>
      <c r="O39">
        <f ca="1">+C$11+C$12*$F39</f>
        <v>-1.3183269181327222E-2</v>
      </c>
      <c r="Q39" s="2">
        <f>+C39-15018.5</f>
        <v>31890.152999999998</v>
      </c>
    </row>
    <row r="40" spans="1:18" x14ac:dyDescent="0.2">
      <c r="A40" s="53" t="s">
        <v>93</v>
      </c>
      <c r="B40" s="52" t="s">
        <v>36</v>
      </c>
      <c r="C40" s="53">
        <v>50520.69</v>
      </c>
      <c r="D40" s="53" t="s">
        <v>58</v>
      </c>
      <c r="E40">
        <f>+(C40-C$7)/C$8</f>
        <v>31439.960944388378</v>
      </c>
      <c r="F40">
        <f>ROUND(2*E40,0)/2</f>
        <v>31440</v>
      </c>
      <c r="G40">
        <f>+C40-(C$7+F40*C$8)</f>
        <v>-2.4007999993045814E-2</v>
      </c>
      <c r="I40">
        <f>+G40</f>
        <v>-2.4007999993045814E-2</v>
      </c>
      <c r="O40">
        <f ca="1">+C$11+C$12*$F40</f>
        <v>-2.0060991604454039E-2</v>
      </c>
      <c r="Q40" s="2">
        <f>+C40-15018.5</f>
        <v>35502.19</v>
      </c>
    </row>
    <row r="41" spans="1:18" x14ac:dyDescent="0.2">
      <c r="A41" s="53" t="s">
        <v>93</v>
      </c>
      <c r="B41" s="52" t="s">
        <v>36</v>
      </c>
      <c r="C41" s="53">
        <v>51996.618999999999</v>
      </c>
      <c r="D41" s="53" t="s">
        <v>58</v>
      </c>
      <c r="E41">
        <f>+(C41-C$7)/C$8</f>
        <v>33840.965185065164</v>
      </c>
      <c r="F41">
        <f>ROUND(2*E41,0)/2</f>
        <v>33841</v>
      </c>
      <c r="G41">
        <f>+C41-(C$7+F41*C$8)</f>
        <v>-2.1401199999672826E-2</v>
      </c>
      <c r="I41">
        <f>+G41</f>
        <v>-2.1401199999672826E-2</v>
      </c>
      <c r="O41">
        <f ca="1">+C$11+C$12*$F41</f>
        <v>-2.2871306706211614E-2</v>
      </c>
      <c r="Q41" s="2">
        <f>+C41-15018.5</f>
        <v>36978.118999999999</v>
      </c>
    </row>
    <row r="42" spans="1:18" x14ac:dyDescent="0.2">
      <c r="A42" s="53" t="s">
        <v>93</v>
      </c>
      <c r="B42" s="52" t="s">
        <v>36</v>
      </c>
      <c r="C42" s="53">
        <v>52616.858999999997</v>
      </c>
      <c r="D42" s="53" t="s">
        <v>58</v>
      </c>
      <c r="E42">
        <f>+(C42-C$7)/C$8</f>
        <v>34849.956044542392</v>
      </c>
      <c r="F42">
        <f>ROUND(2*E42,0)/2</f>
        <v>34850</v>
      </c>
      <c r="G42">
        <f>+C42-(C$7+F42*C$8)</f>
        <v>-2.7020000001357403E-2</v>
      </c>
      <c r="I42">
        <f>+G42</f>
        <v>-2.7020000001357403E-2</v>
      </c>
      <c r="O42">
        <f ca="1">+C$11+C$12*$F42</f>
        <v>-2.4052317925567463E-2</v>
      </c>
      <c r="Q42" s="2">
        <f>+C42-15018.5</f>
        <v>37598.358999999997</v>
      </c>
    </row>
    <row r="43" spans="1:18" x14ac:dyDescent="0.2">
      <c r="A43" s="53" t="s">
        <v>93</v>
      </c>
      <c r="B43" s="52" t="s">
        <v>36</v>
      </c>
      <c r="C43" s="53">
        <v>52648.8249</v>
      </c>
      <c r="D43" s="53" t="s">
        <v>58</v>
      </c>
      <c r="E43">
        <f>+(C43-C$7)/C$8</f>
        <v>34901.957368086449</v>
      </c>
      <c r="F43">
        <f>ROUND(2*E43,0)/2</f>
        <v>34902</v>
      </c>
      <c r="G43">
        <f>+C43-(C$7+F43*C$8)</f>
        <v>-2.6206400005321484E-2</v>
      </c>
      <c r="I43">
        <f>+G43</f>
        <v>-2.6206400005321484E-2</v>
      </c>
      <c r="O43">
        <f ca="1">+C$11+C$12*$F43</f>
        <v>-2.4113182725772123E-2</v>
      </c>
      <c r="Q43" s="2">
        <f>+C43-15018.5</f>
        <v>37630.3249</v>
      </c>
    </row>
    <row r="44" spans="1:18" x14ac:dyDescent="0.2">
      <c r="A44" s="53" t="s">
        <v>93</v>
      </c>
      <c r="B44" s="52" t="s">
        <v>36</v>
      </c>
      <c r="C44" s="53">
        <v>52741.648699999998</v>
      </c>
      <c r="D44" s="53" t="s">
        <v>58</v>
      </c>
      <c r="E44">
        <f>+(C44-C$7)/C$8</f>
        <v>35052.960795375795</v>
      </c>
      <c r="F44">
        <f>ROUND(2*E44,0)/2</f>
        <v>35053</v>
      </c>
      <c r="G44">
        <f>+C44-(C$7+F44*C$8)</f>
        <v>-2.4099599999317434E-2</v>
      </c>
      <c r="I44">
        <f>+G44</f>
        <v>-2.4099599999317434E-2</v>
      </c>
      <c r="O44">
        <f ca="1">+C$11+C$12*$F44</f>
        <v>-2.4289924741751043E-2</v>
      </c>
      <c r="Q44" s="2">
        <f>+C44-15018.5</f>
        <v>37723.148699999998</v>
      </c>
    </row>
    <row r="45" spans="1:18" x14ac:dyDescent="0.2">
      <c r="A45" s="53" t="s">
        <v>93</v>
      </c>
      <c r="B45" s="52" t="s">
        <v>36</v>
      </c>
      <c r="C45" s="53">
        <v>52741.6489</v>
      </c>
      <c r="D45" s="53" t="s">
        <v>58</v>
      </c>
      <c r="E45">
        <f>+(C45-C$7)/C$8</f>
        <v>35052.961120730775</v>
      </c>
      <c r="F45">
        <f>ROUND(2*E45,0)/2</f>
        <v>35053</v>
      </c>
      <c r="G45">
        <f>+C45-(C$7+F45*C$8)</f>
        <v>-2.3899599997093901E-2</v>
      </c>
      <c r="I45">
        <f>+G45</f>
        <v>-2.3899599997093901E-2</v>
      </c>
      <c r="O45">
        <f ca="1">+C$11+C$12*$F45</f>
        <v>-2.4289924741751043E-2</v>
      </c>
      <c r="Q45" s="2">
        <f>+C45-15018.5</f>
        <v>37723.1489</v>
      </c>
    </row>
    <row r="46" spans="1:18" x14ac:dyDescent="0.2">
      <c r="A46" s="53" t="s">
        <v>93</v>
      </c>
      <c r="B46" s="52" t="s">
        <v>36</v>
      </c>
      <c r="C46" s="53">
        <v>53057.6109</v>
      </c>
      <c r="D46" s="53" t="s">
        <v>58</v>
      </c>
      <c r="E46">
        <f>+(C46-C$7)/C$8</f>
        <v>35566.960169392813</v>
      </c>
      <c r="F46">
        <f>ROUND(2*E46,0)/2</f>
        <v>35567</v>
      </c>
      <c r="G46">
        <f>+C46-(C$7+F46*C$8)</f>
        <v>-2.4484399997163564E-2</v>
      </c>
      <c r="I46">
        <f>+G46</f>
        <v>-2.4484399997163564E-2</v>
      </c>
      <c r="O46">
        <f ca="1">+C$11+C$12*$F46</f>
        <v>-2.4891549882235593E-2</v>
      </c>
      <c r="Q46" s="2">
        <f>+C46-15018.5</f>
        <v>38039.1109</v>
      </c>
    </row>
    <row r="47" spans="1:18" x14ac:dyDescent="0.2">
      <c r="A47" s="53" t="s">
        <v>145</v>
      </c>
      <c r="B47" s="52" t="s">
        <v>36</v>
      </c>
      <c r="C47" s="53">
        <v>53432.584000000003</v>
      </c>
      <c r="D47" s="53" t="s">
        <v>58</v>
      </c>
      <c r="E47">
        <f>+(C47-C$7)/C$8</f>
        <v>36176.95699392823</v>
      </c>
      <c r="F47">
        <f>ROUND(2*E47,0)/2</f>
        <v>36177</v>
      </c>
      <c r="G47">
        <f>+C47-(C$7+F47*C$8)</f>
        <v>-2.6436399995873217E-2</v>
      </c>
      <c r="I47">
        <f>+G47</f>
        <v>-2.6436399995873217E-2</v>
      </c>
      <c r="O47">
        <f ca="1">+C$11+C$12*$F47</f>
        <v>-2.5605540807713354E-2</v>
      </c>
      <c r="Q47" s="2">
        <f>+C47-15018.5</f>
        <v>38414.084000000003</v>
      </c>
    </row>
    <row r="48" spans="1:18" x14ac:dyDescent="0.2">
      <c r="A48" s="10" t="s">
        <v>25</v>
      </c>
      <c r="B48" s="11"/>
      <c r="C48" s="12">
        <v>53463.319900000002</v>
      </c>
      <c r="D48" s="12">
        <v>4.0000000000000002E-4</v>
      </c>
      <c r="E48">
        <f>+(C48-C$7)/C$8</f>
        <v>36226.957384354202</v>
      </c>
      <c r="F48">
        <f>ROUND(2*E48,0)/2</f>
        <v>36227</v>
      </c>
      <c r="G48">
        <f>+C48-(C$7+F48*C$8)</f>
        <v>-2.6196399994660169E-2</v>
      </c>
      <c r="J48">
        <f>+G48</f>
        <v>-2.6196399994660169E-2</v>
      </c>
      <c r="O48">
        <f ca="1">+C$11+C$12*$F48</f>
        <v>-2.5664064654063994E-2</v>
      </c>
      <c r="Q48" s="2">
        <f>+C48-15018.5</f>
        <v>38444.819900000002</v>
      </c>
      <c r="R48" t="s">
        <v>52</v>
      </c>
    </row>
    <row r="49" spans="1:18" x14ac:dyDescent="0.2">
      <c r="A49" s="53" t="s">
        <v>158</v>
      </c>
      <c r="B49" s="52" t="s">
        <v>36</v>
      </c>
      <c r="C49" s="53">
        <v>53857.968099999998</v>
      </c>
      <c r="D49" s="53" t="s">
        <v>58</v>
      </c>
      <c r="E49">
        <f>+(C49-C$7)/C$8</f>
        <v>36868.961167581889</v>
      </c>
      <c r="F49">
        <f>ROUND(2*E49,0)/2</f>
        <v>36869</v>
      </c>
      <c r="G49">
        <f>+C49-(C$7+F49*C$8)</f>
        <v>-2.387079999607522E-2</v>
      </c>
      <c r="K49">
        <f>+G49</f>
        <v>-2.387079999607522E-2</v>
      </c>
      <c r="O49">
        <f ca="1">+C$11+C$12*$F49</f>
        <v>-2.6415510841206167E-2</v>
      </c>
      <c r="Q49" s="2">
        <f>+C49-15018.5</f>
        <v>38839.468099999998</v>
      </c>
    </row>
    <row r="50" spans="1:18" x14ac:dyDescent="0.2">
      <c r="A50" s="27" t="s">
        <v>35</v>
      </c>
      <c r="B50" s="34" t="s">
        <v>36</v>
      </c>
      <c r="C50" s="35">
        <v>54058.980099999812</v>
      </c>
      <c r="D50" s="35">
        <v>1E-4</v>
      </c>
      <c r="E50">
        <f>+(C50-C$7)/C$8</f>
        <v>37195.962442322387</v>
      </c>
      <c r="F50">
        <f>ROUND(2*E50,0)/2</f>
        <v>37196</v>
      </c>
      <c r="G50">
        <f>+C50-(C$7+F50*C$8)</f>
        <v>-2.3087200184818357E-2</v>
      </c>
      <c r="K50">
        <f>+G50</f>
        <v>-2.3087200184818357E-2</v>
      </c>
      <c r="O50">
        <f ca="1">+C$11+C$12*$F50</f>
        <v>-2.6798256796339331E-2</v>
      </c>
      <c r="Q50" s="2">
        <f>+C50-15018.5</f>
        <v>39040.480099999812</v>
      </c>
      <c r="R50" t="s">
        <v>50</v>
      </c>
    </row>
    <row r="51" spans="1:18" x14ac:dyDescent="0.2">
      <c r="A51" s="26" t="s">
        <v>34</v>
      </c>
      <c r="B51" s="34"/>
      <c r="C51" s="26">
        <v>54172.396500000003</v>
      </c>
      <c r="D51" s="26">
        <v>2.9999999999999997E-4</v>
      </c>
      <c r="E51">
        <f>+(C51-C$7)/C$8</f>
        <v>37380.465394268424</v>
      </c>
      <c r="F51">
        <f>ROUND(2*E51,0)/2</f>
        <v>37380.5</v>
      </c>
      <c r="G51">
        <f>+C51-(C$7+F51*C$8)</f>
        <v>-2.1272599995427299E-2</v>
      </c>
      <c r="J51">
        <f>+G51</f>
        <v>-2.1272599995427299E-2</v>
      </c>
      <c r="O51">
        <f ca="1">+C$11+C$12*$F51</f>
        <v>-2.7014209789373179E-2</v>
      </c>
      <c r="Q51" s="2">
        <f>+C51-15018.5</f>
        <v>39153.896500000003</v>
      </c>
      <c r="R51" t="s">
        <v>52</v>
      </c>
    </row>
    <row r="52" spans="1:18" x14ac:dyDescent="0.2">
      <c r="A52" s="53" t="s">
        <v>145</v>
      </c>
      <c r="B52" s="52" t="s">
        <v>36</v>
      </c>
      <c r="C52" s="53">
        <v>54172.7022</v>
      </c>
      <c r="D52" s="53" t="s">
        <v>58</v>
      </c>
      <c r="E52">
        <f>+(C52-C$7)/C$8</f>
        <v>37380.962699353127</v>
      </c>
      <c r="F52">
        <f>ROUND(2*E52,0)/2</f>
        <v>37381</v>
      </c>
      <c r="G52">
        <f>+C52-(C$7+F52*C$8)</f>
        <v>-2.2929200000362471E-2</v>
      </c>
      <c r="K52">
        <f>+G52</f>
        <v>-2.2929200000362471E-2</v>
      </c>
      <c r="O52">
        <f ca="1">+C$11+C$12*$F52</f>
        <v>-2.7014795027836689E-2</v>
      </c>
      <c r="Q52" s="2">
        <f>+C52-15018.5</f>
        <v>39154.2022</v>
      </c>
    </row>
    <row r="53" spans="1:18" x14ac:dyDescent="0.2">
      <c r="A53" s="53" t="s">
        <v>145</v>
      </c>
      <c r="B53" s="52" t="s">
        <v>36</v>
      </c>
      <c r="C53" s="53">
        <v>54212.657899999998</v>
      </c>
      <c r="D53" s="53" t="s">
        <v>58</v>
      </c>
      <c r="E53">
        <f>+(C53-C$7)/C$8</f>
        <v>37445.961628935249</v>
      </c>
      <c r="F53">
        <f>ROUND(2*E53,0)/2</f>
        <v>37446</v>
      </c>
      <c r="G53">
        <f>+C53-(C$7+F53*C$8)</f>
        <v>-2.3587199997564312E-2</v>
      </c>
      <c r="K53">
        <f>+G53</f>
        <v>-2.3587199997564312E-2</v>
      </c>
      <c r="O53">
        <f ca="1">+C$11+C$12*$F53</f>
        <v>-2.7090876028092518E-2</v>
      </c>
      <c r="Q53" s="2">
        <f>+C53-15018.5</f>
        <v>39194.157899999998</v>
      </c>
    </row>
    <row r="54" spans="1:18" x14ac:dyDescent="0.2">
      <c r="A54" s="38" t="s">
        <v>45</v>
      </c>
      <c r="B54" s="33" t="s">
        <v>36</v>
      </c>
      <c r="C54" s="26">
        <v>54531.692300000002</v>
      </c>
      <c r="D54" s="26">
        <v>1E-4</v>
      </c>
      <c r="E54">
        <f>+(C54-C$7)/C$8</f>
        <v>37964.958780777772</v>
      </c>
      <c r="F54">
        <f>ROUND(2*E54,0)/2</f>
        <v>37965</v>
      </c>
      <c r="G54">
        <f>+C54-(C$7+F54*C$8)</f>
        <v>-2.5337999999464955E-2</v>
      </c>
      <c r="K54">
        <f>+G54</f>
        <v>-2.5337999999464955E-2</v>
      </c>
      <c r="O54">
        <f ca="1">+C$11+C$12*$F54</f>
        <v>-2.769835355321212E-2</v>
      </c>
      <c r="Q54" s="2">
        <f>+C54-15018.5</f>
        <v>39513.192300000002</v>
      </c>
    </row>
    <row r="55" spans="1:18" x14ac:dyDescent="0.2">
      <c r="A55" s="26" t="s">
        <v>39</v>
      </c>
      <c r="B55" s="33" t="s">
        <v>36</v>
      </c>
      <c r="C55" s="26">
        <v>54535.3799</v>
      </c>
      <c r="D55" s="26">
        <v>1E-4</v>
      </c>
      <c r="E55">
        <f>+(C55-C$7)/C$8</f>
        <v>37970.957675872261</v>
      </c>
      <c r="F55">
        <f>ROUND(2*E55,0)/2</f>
        <v>37971</v>
      </c>
      <c r="G55">
        <f>+C55-(C$7+F55*C$8)</f>
        <v>-2.6017199998022988E-2</v>
      </c>
      <c r="J55">
        <f>+G55</f>
        <v>-2.6017199998022988E-2</v>
      </c>
      <c r="O55">
        <f ca="1">+C$11+C$12*$F55</f>
        <v>-2.7705376414774201E-2</v>
      </c>
      <c r="Q55" s="2">
        <f>+C55-15018.5</f>
        <v>39516.8799</v>
      </c>
      <c r="R55" t="s">
        <v>52</v>
      </c>
    </row>
    <row r="56" spans="1:18" x14ac:dyDescent="0.2">
      <c r="A56" s="53" t="s">
        <v>196</v>
      </c>
      <c r="B56" s="52" t="s">
        <v>36</v>
      </c>
      <c r="C56" s="53">
        <v>54816.302499999998</v>
      </c>
      <c r="D56" s="53" t="s">
        <v>58</v>
      </c>
      <c r="E56">
        <f>+(C56-C$7)/C$8</f>
        <v>38427.955508357394</v>
      </c>
      <c r="F56">
        <f>ROUND(2*E56,0)/2</f>
        <v>38428</v>
      </c>
      <c r="G56">
        <f>+C56-(C$7+F56*C$8)</f>
        <v>-2.7349600000889041E-2</v>
      </c>
      <c r="K56">
        <f>+G56</f>
        <v>-2.7349600000889041E-2</v>
      </c>
      <c r="O56">
        <f ca="1">+C$11+C$12*$F56</f>
        <v>-2.8240284370419016E-2</v>
      </c>
      <c r="Q56" s="2">
        <f>+C56-15018.5</f>
        <v>39797.802499999998</v>
      </c>
    </row>
    <row r="57" spans="1:18" x14ac:dyDescent="0.2">
      <c r="A57" s="38" t="s">
        <v>46</v>
      </c>
      <c r="B57" s="33" t="s">
        <v>36</v>
      </c>
      <c r="C57" s="26">
        <v>54832.898300000001</v>
      </c>
      <c r="D57" s="26">
        <v>2.9999999999999997E-4</v>
      </c>
      <c r="E57">
        <f>+(C57-C$7)/C$8</f>
        <v>38454.953139122445</v>
      </c>
      <c r="F57">
        <f>ROUND(2*E57,0)/2</f>
        <v>38455</v>
      </c>
      <c r="G57">
        <f>+C57-(C$7+F57*C$8)</f>
        <v>-2.8806000002077781E-2</v>
      </c>
      <c r="K57">
        <f>+G57</f>
        <v>-2.8806000002077781E-2</v>
      </c>
      <c r="O57">
        <f ca="1">+C$11+C$12*$F57</f>
        <v>-2.8271887247448359E-2</v>
      </c>
      <c r="Q57" s="2">
        <f>+C57-15018.5</f>
        <v>39814.398300000001</v>
      </c>
    </row>
    <row r="58" spans="1:18" x14ac:dyDescent="0.2">
      <c r="A58" s="26" t="s">
        <v>38</v>
      </c>
      <c r="B58" s="33" t="s">
        <v>36</v>
      </c>
      <c r="C58" s="26">
        <v>54832.898999999998</v>
      </c>
      <c r="D58" s="26">
        <v>2.0000000000000001E-4</v>
      </c>
      <c r="E58">
        <f>+(C58-C$7)/C$8</f>
        <v>38454.954277864861</v>
      </c>
      <c r="F58">
        <f>ROUND(2*E58,0)/2</f>
        <v>38455</v>
      </c>
      <c r="G58">
        <f>+C58-(C$7+F58*C$8)</f>
        <v>-2.8106000005209353E-2</v>
      </c>
      <c r="K58">
        <f>+G58</f>
        <v>-2.8106000005209353E-2</v>
      </c>
      <c r="O58">
        <f ca="1">+C$11+C$12*$F58</f>
        <v>-2.8271887247448359E-2</v>
      </c>
      <c r="Q58" s="2">
        <f>+C58-15018.5</f>
        <v>39814.398999999998</v>
      </c>
      <c r="R58" t="s">
        <v>50</v>
      </c>
    </row>
    <row r="59" spans="1:18" x14ac:dyDescent="0.2">
      <c r="A59" s="38" t="s">
        <v>46</v>
      </c>
      <c r="B59" s="33" t="s">
        <v>36</v>
      </c>
      <c r="C59" s="26">
        <v>54882.691400000003</v>
      </c>
      <c r="D59" s="26">
        <v>2.0000000000000001E-4</v>
      </c>
      <c r="E59">
        <f>+(C59-C$7)/C$8</f>
        <v>38535.955304034476</v>
      </c>
      <c r="F59">
        <f>ROUND(2*E59,0)/2</f>
        <v>38536</v>
      </c>
      <c r="G59">
        <f>+C59-(C$7+F59*C$8)</f>
        <v>-2.7475199996843003E-2</v>
      </c>
      <c r="K59">
        <f>+G59</f>
        <v>-2.7475199996843003E-2</v>
      </c>
      <c r="O59">
        <f ca="1">+C$11+C$12*$F59</f>
        <v>-2.8366695878536397E-2</v>
      </c>
      <c r="Q59" s="2">
        <f>+C59-15018.5</f>
        <v>39864.191400000003</v>
      </c>
    </row>
    <row r="60" spans="1:18" x14ac:dyDescent="0.2">
      <c r="A60" s="38" t="s">
        <v>44</v>
      </c>
      <c r="B60" s="33" t="s">
        <v>36</v>
      </c>
      <c r="C60" s="26">
        <v>55257.6702</v>
      </c>
      <c r="D60" s="26">
        <v>1E-4</v>
      </c>
      <c r="E60">
        <f>+(C60-C$7)/C$8</f>
        <v>39145.961401186767</v>
      </c>
      <c r="F60">
        <f>ROUND(2*E60,0)/2</f>
        <v>39146</v>
      </c>
      <c r="G60">
        <f>+C60-(C$7+F60*C$8)</f>
        <v>-2.3727200001303572E-2</v>
      </c>
      <c r="K60">
        <f>+G60</f>
        <v>-2.3727200001303572E-2</v>
      </c>
      <c r="O60">
        <f ca="1">+C$11+C$12*$F60</f>
        <v>-2.9080686804014159E-2</v>
      </c>
      <c r="Q60" s="2">
        <f>+C60-15018.5</f>
        <v>40239.1702</v>
      </c>
    </row>
    <row r="61" spans="1:18" x14ac:dyDescent="0.2">
      <c r="A61" s="53" t="s">
        <v>221</v>
      </c>
      <c r="B61" s="52" t="s">
        <v>36</v>
      </c>
      <c r="C61" s="53">
        <v>55632.646999999997</v>
      </c>
      <c r="D61" s="53" t="s">
        <v>58</v>
      </c>
      <c r="E61">
        <f>+(C61-C$7)/C$8</f>
        <v>39755.964244789277</v>
      </c>
      <c r="F61">
        <f>ROUND(2*E61,0)/2</f>
        <v>39756</v>
      </c>
      <c r="G61">
        <f>+C61-(C$7+F61*C$8)</f>
        <v>-2.1979199998895638E-2</v>
      </c>
      <c r="K61">
        <f>+G61</f>
        <v>-2.1979199998895638E-2</v>
      </c>
      <c r="O61">
        <f ca="1">+C$11+C$12*$F61</f>
        <v>-2.9794677729491927E-2</v>
      </c>
      <c r="Q61" s="2">
        <f>+C61-15018.5</f>
        <v>40614.146999999997</v>
      </c>
    </row>
    <row r="62" spans="1:18" x14ac:dyDescent="0.2">
      <c r="A62" s="36" t="s">
        <v>42</v>
      </c>
      <c r="B62" s="37" t="s">
        <v>36</v>
      </c>
      <c r="C62" s="36">
        <v>55643.706100000003</v>
      </c>
      <c r="D62" s="36">
        <v>5.0000000000000001E-4</v>
      </c>
      <c r="E62">
        <f>+(C62-C$7)/C$8</f>
        <v>39773.954911005661</v>
      </c>
      <c r="F62">
        <f>ROUND(2*E62,0)/2</f>
        <v>39774</v>
      </c>
      <c r="G62">
        <f>+C62-(C$7+F62*C$8)</f>
        <v>-2.7716799995687325E-2</v>
      </c>
      <c r="K62">
        <f>+G62</f>
        <v>-2.7716799995687325E-2</v>
      </c>
      <c r="O62">
        <f ca="1">+C$11+C$12*$F62</f>
        <v>-2.9815746314178156E-2</v>
      </c>
      <c r="Q62" s="2">
        <f>+C62-15018.5</f>
        <v>40625.206100000003</v>
      </c>
      <c r="R62" t="s">
        <v>50</v>
      </c>
    </row>
    <row r="63" spans="1:18" x14ac:dyDescent="0.2">
      <c r="A63" s="36" t="s">
        <v>43</v>
      </c>
      <c r="B63" s="37" t="s">
        <v>36</v>
      </c>
      <c r="C63" s="36">
        <v>55933.848700000002</v>
      </c>
      <c r="D63" s="36">
        <v>5.0000000000000001E-4</v>
      </c>
      <c r="E63">
        <f>+(C63-C$7)/C$8</f>
        <v>40245.951608001917</v>
      </c>
      <c r="F63">
        <f>ROUND(2*E63,0)/2</f>
        <v>40246</v>
      </c>
      <c r="G63">
        <f>+C63-(C$7+F63*C$8)</f>
        <v>-2.9747199994744733E-2</v>
      </c>
      <c r="K63">
        <f>+G63</f>
        <v>-2.9747199994744733E-2</v>
      </c>
      <c r="O63">
        <f ca="1">+C$11+C$12*$F63</f>
        <v>-3.0368211423728166E-2</v>
      </c>
      <c r="Q63" s="2">
        <f>+C63-15018.5</f>
        <v>40915.348700000002</v>
      </c>
      <c r="R63" t="s">
        <v>50</v>
      </c>
    </row>
    <row r="64" spans="1:18" x14ac:dyDescent="0.2">
      <c r="A64" s="54" t="s">
        <v>47</v>
      </c>
      <c r="B64" s="55" t="s">
        <v>36</v>
      </c>
      <c r="C64" s="56">
        <v>55936.920599999998</v>
      </c>
      <c r="D64" s="56">
        <v>2.9999999999999997E-4</v>
      </c>
      <c r="E64">
        <f>+(C64-C$7)/C$8</f>
        <v>40250.948897794937</v>
      </c>
      <c r="F64">
        <f>ROUND(2*E64,0)/2</f>
        <v>40251</v>
      </c>
      <c r="G64">
        <f>+C64-(C$7+F64*C$8)</f>
        <v>-3.1413200005772524E-2</v>
      </c>
      <c r="J64">
        <f>+G64</f>
        <v>-3.1413200005772524E-2</v>
      </c>
      <c r="O64">
        <f ca="1">+C$11+C$12*$F64</f>
        <v>-3.0374063808363234E-2</v>
      </c>
      <c r="Q64" s="2">
        <f>+C64-15018.5</f>
        <v>40918.420599999998</v>
      </c>
    </row>
    <row r="65" spans="1:17" x14ac:dyDescent="0.2">
      <c r="A65" s="54" t="s">
        <v>47</v>
      </c>
      <c r="B65" s="55" t="s">
        <v>36</v>
      </c>
      <c r="C65" s="56">
        <v>55986.7114</v>
      </c>
      <c r="D65" s="56">
        <v>2.0000000000000001E-4</v>
      </c>
      <c r="E65">
        <f>+(C65-C$7)/C$8</f>
        <v>40331.947321124717</v>
      </c>
      <c r="F65">
        <f>ROUND(2*E65,0)/2</f>
        <v>40332</v>
      </c>
      <c r="G65">
        <f>+C65-(C$7+F65*C$8)</f>
        <v>-3.2382400000642519E-2</v>
      </c>
      <c r="J65">
        <f>+G65</f>
        <v>-3.2382400000642519E-2</v>
      </c>
      <c r="O65">
        <f ca="1">+C$11+C$12*$F65</f>
        <v>-3.0468872439451265E-2</v>
      </c>
      <c r="Q65" s="2">
        <f>+C65-15018.5</f>
        <v>40968.2114</v>
      </c>
    </row>
    <row r="66" spans="1:17" x14ac:dyDescent="0.2">
      <c r="A66" s="57" t="s">
        <v>241</v>
      </c>
      <c r="B66" s="58" t="s">
        <v>36</v>
      </c>
      <c r="C66" s="59">
        <v>57425.755700000002</v>
      </c>
      <c r="D66" s="59">
        <v>1E-4</v>
      </c>
      <c r="E66">
        <f>+(C66-C$7)/C$8</f>
        <v>42672.948457915008</v>
      </c>
      <c r="F66">
        <f>ROUND(2*E66,0)/2</f>
        <v>42673</v>
      </c>
      <c r="G66">
        <f>+C66-(C$7+F66*C$8)</f>
        <v>-3.1683599998359568E-2</v>
      </c>
      <c r="K66">
        <f>+G66</f>
        <v>-3.1683599998359568E-2</v>
      </c>
      <c r="O66">
        <f ca="1">+C$11+C$12*$F66</f>
        <v>-3.3208958925588075E-2</v>
      </c>
      <c r="Q66" s="2">
        <f>+C66-15018.5</f>
        <v>42407.255700000002</v>
      </c>
    </row>
    <row r="67" spans="1:17" x14ac:dyDescent="0.2">
      <c r="A67" s="60" t="s">
        <v>242</v>
      </c>
      <c r="B67" s="61" t="s">
        <v>36</v>
      </c>
      <c r="C67" s="62">
        <v>57845.6008</v>
      </c>
      <c r="D67" s="62">
        <v>1E-4</v>
      </c>
      <c r="E67">
        <f>+(C67-C$7)/C$8</f>
        <v>43355.94192543775</v>
      </c>
      <c r="F67">
        <f>ROUND(2*E67,0)/2</f>
        <v>43356</v>
      </c>
      <c r="G67">
        <f>+C67-(C$7+F67*C$8)</f>
        <v>-3.569920000154525E-2</v>
      </c>
      <c r="K67">
        <f>+G67</f>
        <v>-3.569920000154525E-2</v>
      </c>
      <c r="O67">
        <f ca="1">+C$11+C$12*$F67</f>
        <v>-3.4008394666737773E-2</v>
      </c>
      <c r="Q67" s="2">
        <f>+C67-15018.5</f>
        <v>42827.1008</v>
      </c>
    </row>
    <row r="68" spans="1:17" x14ac:dyDescent="0.2">
      <c r="A68" s="60" t="s">
        <v>243</v>
      </c>
      <c r="B68" s="63" t="s">
        <v>36</v>
      </c>
      <c r="C68" s="60">
        <v>58101.931700000001</v>
      </c>
      <c r="D68" s="60">
        <v>1E-4</v>
      </c>
      <c r="E68">
        <f>+(C68-C$7)/C$8</f>
        <v>43772.934597792926</v>
      </c>
      <c r="F68">
        <f>ROUND(2*E68,0)/2</f>
        <v>43773</v>
      </c>
      <c r="G68">
        <f>+C68-(C$7+F68*C$8)</f>
        <v>-4.0203600001404993E-2</v>
      </c>
      <c r="K68">
        <f>+G68</f>
        <v>-4.0203600001404993E-2</v>
      </c>
      <c r="O68">
        <f ca="1">+C$11+C$12*$F68</f>
        <v>-3.4496483545302076E-2</v>
      </c>
      <c r="Q68" s="2">
        <f>+C68-15018.5</f>
        <v>43083.431700000001</v>
      </c>
    </row>
    <row r="69" spans="1:17" ht="12" customHeight="1" x14ac:dyDescent="0.2">
      <c r="A69" s="64" t="s">
        <v>247</v>
      </c>
      <c r="B69" s="65" t="s">
        <v>36</v>
      </c>
      <c r="C69" s="66">
        <v>58234.7094</v>
      </c>
      <c r="D69" s="66">
        <v>8.0000000000000004E-4</v>
      </c>
      <c r="E69">
        <f>+(C69-C$7)/C$8</f>
        <v>43988.934026469578</v>
      </c>
      <c r="F69">
        <f>ROUND(2*E69,0)/2</f>
        <v>43989</v>
      </c>
      <c r="G69">
        <f>+C69-(C$7+F69*C$8)</f>
        <v>-4.0554799998062663E-2</v>
      </c>
      <c r="K69">
        <f>+G69</f>
        <v>-4.0554799998062663E-2</v>
      </c>
      <c r="O69">
        <f ca="1">+C$11+C$12*$F69</f>
        <v>-3.4749306561536825E-2</v>
      </c>
      <c r="Q69" s="2">
        <f>+C69-15018.5</f>
        <v>43216.2094</v>
      </c>
    </row>
    <row r="70" spans="1:17" ht="12" customHeight="1" x14ac:dyDescent="0.2">
      <c r="A70" s="64" t="s">
        <v>248</v>
      </c>
      <c r="B70" s="65" t="s">
        <v>36</v>
      </c>
      <c r="C70" s="66">
        <v>58542.684800000003</v>
      </c>
      <c r="D70" s="66">
        <v>2.0000000000000001E-4</v>
      </c>
      <c r="E70">
        <f>+(C70-C$7)/C$8</f>
        <v>44489.940674773214</v>
      </c>
      <c r="F70">
        <f>ROUND(2*E70,0)/2</f>
        <v>44490</v>
      </c>
      <c r="G70">
        <f>+C70-(C$7+F70*C$8)</f>
        <v>-3.6467999998421874E-2</v>
      </c>
      <c r="K70">
        <f>+G70</f>
        <v>-3.6467999998421874E-2</v>
      </c>
      <c r="O70">
        <f ca="1">+C$11+C$12*$F70</f>
        <v>-3.5335715501970205E-2</v>
      </c>
      <c r="Q70" s="2">
        <f>+C70-15018.5</f>
        <v>43524.184800000003</v>
      </c>
    </row>
    <row r="71" spans="1:17" ht="12" customHeight="1" x14ac:dyDescent="0.2">
      <c r="A71" s="64" t="s">
        <v>248</v>
      </c>
      <c r="B71" s="65" t="s">
        <v>36</v>
      </c>
      <c r="C71" s="66">
        <v>58554.363400000002</v>
      </c>
      <c r="D71" s="66">
        <v>1E-4</v>
      </c>
      <c r="E71">
        <f>+(C71-C$7)/C$8</f>
        <v>44508.93912803565</v>
      </c>
      <c r="F71">
        <f>ROUND(2*E71,0)/2</f>
        <v>44509</v>
      </c>
      <c r="G71">
        <f>+C71-(C$7+F71*C$8)</f>
        <v>-3.7418799998704344E-2</v>
      </c>
      <c r="K71">
        <f>+G71</f>
        <v>-3.7418799998704344E-2</v>
      </c>
      <c r="O71">
        <f ca="1">+C$11+C$12*$F71</f>
        <v>-3.5357954563583455E-2</v>
      </c>
      <c r="Q71" s="2">
        <f>+C71-15018.5</f>
        <v>43535.863400000002</v>
      </c>
    </row>
    <row r="72" spans="1:17" ht="12" customHeight="1" x14ac:dyDescent="0.2">
      <c r="A72" s="67" t="s">
        <v>249</v>
      </c>
      <c r="B72" s="68" t="s">
        <v>36</v>
      </c>
      <c r="C72" s="69">
        <v>58941.630700000002</v>
      </c>
      <c r="D72" s="69">
        <v>2.9999999999999997E-4</v>
      </c>
      <c r="E72">
        <f>+(C72-C$7)/C$8</f>
        <v>45138.935848457462</v>
      </c>
      <c r="F72">
        <f>ROUND(2*E72,0)/2</f>
        <v>45139</v>
      </c>
      <c r="G72">
        <f>+C72-(C$7+F72*C$8)</f>
        <v>-3.9434799997252412E-2</v>
      </c>
      <c r="K72">
        <f>+G72</f>
        <v>-3.9434799997252412E-2</v>
      </c>
      <c r="O72">
        <f ca="1">+C$11+C$12*$F72</f>
        <v>-3.6095355027601472E-2</v>
      </c>
      <c r="Q72" s="2">
        <f>+C72-15018.5</f>
        <v>43923.130700000002</v>
      </c>
    </row>
    <row r="73" spans="1:17" ht="12" customHeight="1" x14ac:dyDescent="0.2">
      <c r="A73" s="64" t="s">
        <v>250</v>
      </c>
      <c r="B73" s="65" t="s">
        <v>36</v>
      </c>
      <c r="C73" s="66">
        <v>59283.407500000001</v>
      </c>
      <c r="D73" s="66">
        <v>1E-4</v>
      </c>
      <c r="E73">
        <f>+(C73-C$7)/C$8</f>
        <v>45694.929765620785</v>
      </c>
      <c r="F73">
        <f>ROUND(2*E73,0)/2</f>
        <v>45695</v>
      </c>
      <c r="G73">
        <f>+C73-(C$7+F73*C$8)</f>
        <v>-4.3173999998543877E-2</v>
      </c>
      <c r="K73">
        <f>+G73</f>
        <v>-4.3173999998543877E-2</v>
      </c>
      <c r="O73">
        <f ca="1">+C$11+C$12*$F73</f>
        <v>-3.6746140199020547E-2</v>
      </c>
      <c r="Q73" s="2">
        <f>+C73-15018.5</f>
        <v>44264.907500000001</v>
      </c>
    </row>
    <row r="74" spans="1:17" ht="12" customHeight="1" x14ac:dyDescent="0.2">
      <c r="B74" s="5"/>
    </row>
    <row r="75" spans="1:17" ht="12" customHeight="1" x14ac:dyDescent="0.2">
      <c r="B75" s="5"/>
    </row>
    <row r="76" spans="1:17" x14ac:dyDescent="0.2">
      <c r="B76" s="5"/>
    </row>
    <row r="77" spans="1:17" x14ac:dyDescent="0.2">
      <c r="B77" s="5"/>
    </row>
    <row r="78" spans="1:17" x14ac:dyDescent="0.2">
      <c r="B78" s="5"/>
    </row>
    <row r="79" spans="1:17" x14ac:dyDescent="0.2">
      <c r="B79" s="5"/>
    </row>
    <row r="80" spans="1:17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5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5"/>
    </row>
    <row r="88" spans="2:2" x14ac:dyDescent="0.2">
      <c r="B88" s="5"/>
    </row>
    <row r="89" spans="2:2" x14ac:dyDescent="0.2">
      <c r="B89" s="5"/>
    </row>
    <row r="90" spans="2:2" x14ac:dyDescent="0.2">
      <c r="B90" s="5"/>
    </row>
  </sheetData>
  <protectedRanges>
    <protectedRange sqref="A69:D72" name="Range1"/>
  </protectedRanges>
  <sortState xmlns:xlrd2="http://schemas.microsoft.com/office/spreadsheetml/2017/richdata2" ref="A21:S73">
    <sortCondition ref="C21:C73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topLeftCell="A6" workbookViewId="0">
      <selection activeCell="A23" sqref="A23:D54"/>
    </sheetView>
  </sheetViews>
  <sheetFormatPr defaultRowHeight="12.75" x14ac:dyDescent="0.2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9" t="s">
        <v>48</v>
      </c>
      <c r="I1" s="40" t="s">
        <v>49</v>
      </c>
      <c r="J1" s="41" t="s">
        <v>50</v>
      </c>
    </row>
    <row r="2" spans="1:16" x14ac:dyDescent="0.2">
      <c r="I2" s="42" t="s">
        <v>51</v>
      </c>
      <c r="J2" s="43" t="s">
        <v>52</v>
      </c>
    </row>
    <row r="3" spans="1:16" x14ac:dyDescent="0.2">
      <c r="A3" s="44" t="s">
        <v>53</v>
      </c>
      <c r="I3" s="42" t="s">
        <v>54</v>
      </c>
      <c r="J3" s="43" t="s">
        <v>55</v>
      </c>
    </row>
    <row r="4" spans="1:16" x14ac:dyDescent="0.2">
      <c r="I4" s="42" t="s">
        <v>56</v>
      </c>
      <c r="J4" s="43" t="s">
        <v>55</v>
      </c>
    </row>
    <row r="5" spans="1:16" ht="13.5" thickBot="1" x14ac:dyDescent="0.25">
      <c r="I5" s="45" t="s">
        <v>57</v>
      </c>
      <c r="J5" s="46" t="s">
        <v>58</v>
      </c>
    </row>
    <row r="10" spans="1:16" ht="13.5" thickBot="1" x14ac:dyDescent="0.25"/>
    <row r="11" spans="1:16" ht="12.75" customHeight="1" thickBot="1" x14ac:dyDescent="0.25">
      <c r="A11" s="12" t="str">
        <f t="shared" ref="A11:A54" si="0">P11</f>
        <v>BAVM 173 </v>
      </c>
      <c r="B11" s="5" t="str">
        <f t="shared" ref="B11:B54" si="1">IF(H11=INT(H11),"I","II")</f>
        <v>I</v>
      </c>
      <c r="C11" s="12">
        <f t="shared" ref="C11:C54" si="2">1*G11</f>
        <v>53463.319900000002</v>
      </c>
      <c r="D11" s="15" t="str">
        <f t="shared" ref="D11:D54" si="3">VLOOKUP(F11,I$1:J$5,2,FALSE)</f>
        <v>vis</v>
      </c>
      <c r="E11" s="47">
        <f>VLOOKUP(C11,Active!C$21:E$970,3,FALSE)</f>
        <v>36226.957384354202</v>
      </c>
      <c r="F11" s="5" t="s">
        <v>57</v>
      </c>
      <c r="G11" s="15" t="str">
        <f t="shared" ref="G11:G54" si="4">MID(I11,3,LEN(I11)-3)</f>
        <v>53463.3199</v>
      </c>
      <c r="H11" s="12">
        <f t="shared" ref="H11:H54" si="5">1*K11</f>
        <v>36200</v>
      </c>
      <c r="I11" s="48" t="s">
        <v>146</v>
      </c>
      <c r="J11" s="49" t="s">
        <v>147</v>
      </c>
      <c r="K11" s="48">
        <v>36200</v>
      </c>
      <c r="L11" s="48" t="s">
        <v>148</v>
      </c>
      <c r="M11" s="49" t="s">
        <v>149</v>
      </c>
      <c r="N11" s="49" t="s">
        <v>150</v>
      </c>
      <c r="O11" s="50" t="s">
        <v>151</v>
      </c>
      <c r="P11" s="51" t="s">
        <v>152</v>
      </c>
    </row>
    <row r="12" spans="1:16" ht="12.75" customHeight="1" thickBot="1" x14ac:dyDescent="0.25">
      <c r="A12" s="12" t="str">
        <f t="shared" si="0"/>
        <v>BAVM 186 </v>
      </c>
      <c r="B12" s="5" t="str">
        <f t="shared" si="1"/>
        <v>II</v>
      </c>
      <c r="C12" s="12">
        <f t="shared" si="2"/>
        <v>54172.396500000003</v>
      </c>
      <c r="D12" s="15" t="str">
        <f t="shared" si="3"/>
        <v>vis</v>
      </c>
      <c r="E12" s="47">
        <f>VLOOKUP(C12,Active!C$21:E$970,3,FALSE)</f>
        <v>37380.465394268424</v>
      </c>
      <c r="F12" s="5" t="s">
        <v>57</v>
      </c>
      <c r="G12" s="15" t="str">
        <f t="shared" si="4"/>
        <v>54172.3965</v>
      </c>
      <c r="H12" s="12">
        <f t="shared" si="5"/>
        <v>37353.5</v>
      </c>
      <c r="I12" s="48" t="s">
        <v>166</v>
      </c>
      <c r="J12" s="49" t="s">
        <v>167</v>
      </c>
      <c r="K12" s="48" t="s">
        <v>168</v>
      </c>
      <c r="L12" s="48" t="s">
        <v>169</v>
      </c>
      <c r="M12" s="49" t="s">
        <v>124</v>
      </c>
      <c r="N12" s="49" t="s">
        <v>150</v>
      </c>
      <c r="O12" s="50" t="s">
        <v>151</v>
      </c>
      <c r="P12" s="51" t="s">
        <v>170</v>
      </c>
    </row>
    <row r="13" spans="1:16" ht="12.75" customHeight="1" thickBot="1" x14ac:dyDescent="0.25">
      <c r="A13" s="12" t="str">
        <f t="shared" si="0"/>
        <v>JAAVSO 36(2);186 </v>
      </c>
      <c r="B13" s="5" t="str">
        <f t="shared" si="1"/>
        <v>I</v>
      </c>
      <c r="C13" s="12">
        <f t="shared" si="2"/>
        <v>54531.692300000002</v>
      </c>
      <c r="D13" s="15" t="str">
        <f t="shared" si="3"/>
        <v>vis</v>
      </c>
      <c r="E13" s="47">
        <f>VLOOKUP(C13,Active!C$21:E$970,3,FALSE)</f>
        <v>37964.958780777772</v>
      </c>
      <c r="F13" s="5" t="s">
        <v>57</v>
      </c>
      <c r="G13" s="15" t="str">
        <f t="shared" si="4"/>
        <v>54531.6923</v>
      </c>
      <c r="H13" s="12">
        <f t="shared" si="5"/>
        <v>37938</v>
      </c>
      <c r="I13" s="48" t="s">
        <v>180</v>
      </c>
      <c r="J13" s="49" t="s">
        <v>181</v>
      </c>
      <c r="K13" s="48" t="s">
        <v>182</v>
      </c>
      <c r="L13" s="48" t="s">
        <v>183</v>
      </c>
      <c r="M13" s="49" t="s">
        <v>124</v>
      </c>
      <c r="N13" s="49" t="s">
        <v>163</v>
      </c>
      <c r="O13" s="50" t="s">
        <v>184</v>
      </c>
      <c r="P13" s="51" t="s">
        <v>185</v>
      </c>
    </row>
    <row r="14" spans="1:16" ht="12.75" customHeight="1" thickBot="1" x14ac:dyDescent="0.25">
      <c r="A14" s="12" t="str">
        <f t="shared" si="0"/>
        <v>BAVM 201 </v>
      </c>
      <c r="B14" s="5" t="str">
        <f t="shared" si="1"/>
        <v>I</v>
      </c>
      <c r="C14" s="12">
        <f t="shared" si="2"/>
        <v>54535.3799</v>
      </c>
      <c r="D14" s="15" t="str">
        <f t="shared" si="3"/>
        <v>vis</v>
      </c>
      <c r="E14" s="47">
        <f>VLOOKUP(C14,Active!C$21:E$970,3,FALSE)</f>
        <v>37970.957675872261</v>
      </c>
      <c r="F14" s="5" t="s">
        <v>57</v>
      </c>
      <c r="G14" s="15" t="str">
        <f t="shared" si="4"/>
        <v>54535.3799</v>
      </c>
      <c r="H14" s="12">
        <f t="shared" si="5"/>
        <v>37944</v>
      </c>
      <c r="I14" s="48" t="s">
        <v>186</v>
      </c>
      <c r="J14" s="49" t="s">
        <v>187</v>
      </c>
      <c r="K14" s="48" t="s">
        <v>188</v>
      </c>
      <c r="L14" s="48" t="s">
        <v>189</v>
      </c>
      <c r="M14" s="49" t="s">
        <v>124</v>
      </c>
      <c r="N14" s="49" t="s">
        <v>150</v>
      </c>
      <c r="O14" s="50" t="s">
        <v>151</v>
      </c>
      <c r="P14" s="51" t="s">
        <v>190</v>
      </c>
    </row>
    <row r="15" spans="1:16" ht="12.75" customHeight="1" thickBot="1" x14ac:dyDescent="0.25">
      <c r="A15" s="12" t="str">
        <f t="shared" si="0"/>
        <v>JAAVSO 37(1);44 </v>
      </c>
      <c r="B15" s="5" t="str">
        <f t="shared" si="1"/>
        <v>I</v>
      </c>
      <c r="C15" s="12">
        <f t="shared" si="2"/>
        <v>54832.898300000001</v>
      </c>
      <c r="D15" s="15" t="str">
        <f t="shared" si="3"/>
        <v>vis</v>
      </c>
      <c r="E15" s="47">
        <f>VLOOKUP(C15,Active!C$21:E$970,3,FALSE)</f>
        <v>38454.953139122445</v>
      </c>
      <c r="F15" s="5" t="s">
        <v>57</v>
      </c>
      <c r="G15" s="15" t="str">
        <f t="shared" si="4"/>
        <v>54832.8983</v>
      </c>
      <c r="H15" s="12">
        <f t="shared" si="5"/>
        <v>38428</v>
      </c>
      <c r="I15" s="48" t="s">
        <v>197</v>
      </c>
      <c r="J15" s="49" t="s">
        <v>198</v>
      </c>
      <c r="K15" s="48" t="s">
        <v>199</v>
      </c>
      <c r="L15" s="48" t="s">
        <v>200</v>
      </c>
      <c r="M15" s="49" t="s">
        <v>124</v>
      </c>
      <c r="N15" s="49" t="s">
        <v>125</v>
      </c>
      <c r="O15" s="50" t="s">
        <v>92</v>
      </c>
      <c r="P15" s="51" t="s">
        <v>201</v>
      </c>
    </row>
    <row r="16" spans="1:16" ht="12.75" customHeight="1" thickBot="1" x14ac:dyDescent="0.25">
      <c r="A16" s="12" t="str">
        <f t="shared" si="0"/>
        <v>IBVS 5871 </v>
      </c>
      <c r="B16" s="5" t="str">
        <f t="shared" si="1"/>
        <v>I</v>
      </c>
      <c r="C16" s="12">
        <f t="shared" si="2"/>
        <v>54832.898999999998</v>
      </c>
      <c r="D16" s="15" t="str">
        <f t="shared" si="3"/>
        <v>vis</v>
      </c>
      <c r="E16" s="47">
        <f>VLOOKUP(C16,Active!C$21:E$970,3,FALSE)</f>
        <v>38454.954277864861</v>
      </c>
      <c r="F16" s="5" t="s">
        <v>57</v>
      </c>
      <c r="G16" s="15" t="str">
        <f t="shared" si="4"/>
        <v>54832.8990</v>
      </c>
      <c r="H16" s="12">
        <f t="shared" si="5"/>
        <v>38428</v>
      </c>
      <c r="I16" s="48" t="s">
        <v>202</v>
      </c>
      <c r="J16" s="49" t="s">
        <v>203</v>
      </c>
      <c r="K16" s="48" t="s">
        <v>199</v>
      </c>
      <c r="L16" s="48" t="s">
        <v>204</v>
      </c>
      <c r="M16" s="49" t="s">
        <v>124</v>
      </c>
      <c r="N16" s="49" t="s">
        <v>57</v>
      </c>
      <c r="O16" s="50" t="s">
        <v>205</v>
      </c>
      <c r="P16" s="51" t="s">
        <v>206</v>
      </c>
    </row>
    <row r="17" spans="1:16" ht="12.75" customHeight="1" thickBot="1" x14ac:dyDescent="0.25">
      <c r="A17" s="12" t="str">
        <f t="shared" si="0"/>
        <v>JAAVSO 37(1);44 </v>
      </c>
      <c r="B17" s="5" t="str">
        <f t="shared" si="1"/>
        <v>I</v>
      </c>
      <c r="C17" s="12">
        <f t="shared" si="2"/>
        <v>54882.691400000003</v>
      </c>
      <c r="D17" s="15" t="str">
        <f t="shared" si="3"/>
        <v>vis</v>
      </c>
      <c r="E17" s="47">
        <f>VLOOKUP(C17,Active!C$21:E$970,3,FALSE)</f>
        <v>38535.955304034476</v>
      </c>
      <c r="F17" s="5" t="s">
        <v>57</v>
      </c>
      <c r="G17" s="15" t="str">
        <f t="shared" si="4"/>
        <v>54882.6914</v>
      </c>
      <c r="H17" s="12">
        <f t="shared" si="5"/>
        <v>38509</v>
      </c>
      <c r="I17" s="48" t="s">
        <v>207</v>
      </c>
      <c r="J17" s="49" t="s">
        <v>208</v>
      </c>
      <c r="K17" s="48" t="s">
        <v>209</v>
      </c>
      <c r="L17" s="48" t="s">
        <v>210</v>
      </c>
      <c r="M17" s="49" t="s">
        <v>124</v>
      </c>
      <c r="N17" s="49" t="s">
        <v>125</v>
      </c>
      <c r="O17" s="50" t="s">
        <v>175</v>
      </c>
      <c r="P17" s="51" t="s">
        <v>201</v>
      </c>
    </row>
    <row r="18" spans="1:16" ht="12.75" customHeight="1" thickBot="1" x14ac:dyDescent="0.25">
      <c r="A18" s="12" t="str">
        <f t="shared" si="0"/>
        <v> JAAVSO 39;94 </v>
      </c>
      <c r="B18" s="5" t="str">
        <f t="shared" si="1"/>
        <v>I</v>
      </c>
      <c r="C18" s="12">
        <f t="shared" si="2"/>
        <v>55257.6702</v>
      </c>
      <c r="D18" s="15" t="str">
        <f t="shared" si="3"/>
        <v>vis</v>
      </c>
      <c r="E18" s="47">
        <f>VLOOKUP(C18,Active!C$21:E$970,3,FALSE)</f>
        <v>39145.961401186767</v>
      </c>
      <c r="F18" s="5" t="s">
        <v>57</v>
      </c>
      <c r="G18" s="15" t="str">
        <f t="shared" si="4"/>
        <v>55257.6702</v>
      </c>
      <c r="H18" s="12">
        <f t="shared" si="5"/>
        <v>39119</v>
      </c>
      <c r="I18" s="48" t="s">
        <v>211</v>
      </c>
      <c r="J18" s="49" t="s">
        <v>212</v>
      </c>
      <c r="K18" s="48" t="s">
        <v>213</v>
      </c>
      <c r="L18" s="48" t="s">
        <v>214</v>
      </c>
      <c r="M18" s="49" t="s">
        <v>124</v>
      </c>
      <c r="N18" s="49" t="s">
        <v>125</v>
      </c>
      <c r="O18" s="50" t="s">
        <v>92</v>
      </c>
      <c r="P18" s="50" t="s">
        <v>215</v>
      </c>
    </row>
    <row r="19" spans="1:16" ht="12.75" customHeight="1" thickBot="1" x14ac:dyDescent="0.25">
      <c r="A19" s="12" t="str">
        <f t="shared" si="0"/>
        <v>IBVS 5992 </v>
      </c>
      <c r="B19" s="5" t="str">
        <f t="shared" si="1"/>
        <v>I</v>
      </c>
      <c r="C19" s="12">
        <f t="shared" si="2"/>
        <v>55643.706100000003</v>
      </c>
      <c r="D19" s="15" t="str">
        <f t="shared" si="3"/>
        <v>vis</v>
      </c>
      <c r="E19" s="47">
        <f>VLOOKUP(C19,Active!C$21:E$970,3,FALSE)</f>
        <v>39773.954911005661</v>
      </c>
      <c r="F19" s="5" t="s">
        <v>57</v>
      </c>
      <c r="G19" s="15" t="str">
        <f t="shared" si="4"/>
        <v>55643.7061</v>
      </c>
      <c r="H19" s="12">
        <f t="shared" si="5"/>
        <v>39747</v>
      </c>
      <c r="I19" s="48" t="s">
        <v>222</v>
      </c>
      <c r="J19" s="49" t="s">
        <v>223</v>
      </c>
      <c r="K19" s="48" t="s">
        <v>224</v>
      </c>
      <c r="L19" s="48" t="s">
        <v>225</v>
      </c>
      <c r="M19" s="49" t="s">
        <v>124</v>
      </c>
      <c r="N19" s="49" t="s">
        <v>57</v>
      </c>
      <c r="O19" s="50" t="s">
        <v>205</v>
      </c>
      <c r="P19" s="51" t="s">
        <v>226</v>
      </c>
    </row>
    <row r="20" spans="1:16" ht="12.75" customHeight="1" thickBot="1" x14ac:dyDescent="0.25">
      <c r="A20" s="12" t="str">
        <f t="shared" si="0"/>
        <v>IBVS 6011 </v>
      </c>
      <c r="B20" s="5" t="str">
        <f t="shared" si="1"/>
        <v>I</v>
      </c>
      <c r="C20" s="12">
        <f t="shared" si="2"/>
        <v>55933.848700000002</v>
      </c>
      <c r="D20" s="15" t="str">
        <f t="shared" si="3"/>
        <v>vis</v>
      </c>
      <c r="E20" s="47">
        <f>VLOOKUP(C20,Active!C$21:E$970,3,FALSE)</f>
        <v>40245.951608001917</v>
      </c>
      <c r="F20" s="5" t="s">
        <v>57</v>
      </c>
      <c r="G20" s="15" t="str">
        <f t="shared" si="4"/>
        <v>55933.8487</v>
      </c>
      <c r="H20" s="12">
        <f t="shared" si="5"/>
        <v>40219</v>
      </c>
      <c r="I20" s="48" t="s">
        <v>227</v>
      </c>
      <c r="J20" s="49" t="s">
        <v>228</v>
      </c>
      <c r="K20" s="48" t="s">
        <v>229</v>
      </c>
      <c r="L20" s="48" t="s">
        <v>230</v>
      </c>
      <c r="M20" s="49" t="s">
        <v>124</v>
      </c>
      <c r="N20" s="49" t="s">
        <v>57</v>
      </c>
      <c r="O20" s="50" t="s">
        <v>205</v>
      </c>
      <c r="P20" s="51" t="s">
        <v>231</v>
      </c>
    </row>
    <row r="21" spans="1:16" ht="12.75" customHeight="1" thickBot="1" x14ac:dyDescent="0.25">
      <c r="A21" s="12" t="str">
        <f t="shared" si="0"/>
        <v> JAAVSO 41;122 </v>
      </c>
      <c r="B21" s="5" t="str">
        <f t="shared" si="1"/>
        <v>I</v>
      </c>
      <c r="C21" s="12">
        <f t="shared" si="2"/>
        <v>55936.920599999998</v>
      </c>
      <c r="D21" s="15" t="str">
        <f t="shared" si="3"/>
        <v>vis</v>
      </c>
      <c r="E21" s="47">
        <f>VLOOKUP(C21,Active!C$21:E$970,3,FALSE)</f>
        <v>40250.948897794937</v>
      </c>
      <c r="F21" s="5" t="s">
        <v>57</v>
      </c>
      <c r="G21" s="15" t="str">
        <f t="shared" si="4"/>
        <v>55936.9206</v>
      </c>
      <c r="H21" s="12">
        <f t="shared" si="5"/>
        <v>40224</v>
      </c>
      <c r="I21" s="48" t="s">
        <v>232</v>
      </c>
      <c r="J21" s="49" t="s">
        <v>233</v>
      </c>
      <c r="K21" s="48" t="s">
        <v>234</v>
      </c>
      <c r="L21" s="48" t="s">
        <v>235</v>
      </c>
      <c r="M21" s="49" t="s">
        <v>124</v>
      </c>
      <c r="N21" s="49" t="s">
        <v>57</v>
      </c>
      <c r="O21" s="50" t="s">
        <v>92</v>
      </c>
      <c r="P21" s="50" t="s">
        <v>236</v>
      </c>
    </row>
    <row r="22" spans="1:16" ht="12.75" customHeight="1" thickBot="1" x14ac:dyDescent="0.25">
      <c r="A22" s="12" t="str">
        <f t="shared" si="0"/>
        <v> JAAVSO 41;122 </v>
      </c>
      <c r="B22" s="5" t="str">
        <f t="shared" si="1"/>
        <v>I</v>
      </c>
      <c r="C22" s="12">
        <f t="shared" si="2"/>
        <v>55986.7114</v>
      </c>
      <c r="D22" s="15" t="str">
        <f t="shared" si="3"/>
        <v>vis</v>
      </c>
      <c r="E22" s="47">
        <f>VLOOKUP(C22,Active!C$21:E$970,3,FALSE)</f>
        <v>40331.947321124717</v>
      </c>
      <c r="F22" s="5" t="s">
        <v>57</v>
      </c>
      <c r="G22" s="15" t="str">
        <f t="shared" si="4"/>
        <v>55986.7114</v>
      </c>
      <c r="H22" s="12">
        <f t="shared" si="5"/>
        <v>40305</v>
      </c>
      <c r="I22" s="48" t="s">
        <v>237</v>
      </c>
      <c r="J22" s="49" t="s">
        <v>238</v>
      </c>
      <c r="K22" s="48" t="s">
        <v>239</v>
      </c>
      <c r="L22" s="48" t="s">
        <v>240</v>
      </c>
      <c r="M22" s="49" t="s">
        <v>124</v>
      </c>
      <c r="N22" s="49" t="s">
        <v>57</v>
      </c>
      <c r="O22" s="50" t="s">
        <v>175</v>
      </c>
      <c r="P22" s="50" t="s">
        <v>236</v>
      </c>
    </row>
    <row r="23" spans="1:16" ht="12.75" customHeight="1" thickBot="1" x14ac:dyDescent="0.25">
      <c r="A23" s="12" t="str">
        <f t="shared" si="0"/>
        <v> AAC 4.84 </v>
      </c>
      <c r="B23" s="5" t="str">
        <f t="shared" si="1"/>
        <v>I</v>
      </c>
      <c r="C23" s="12">
        <f t="shared" si="2"/>
        <v>27503.393</v>
      </c>
      <c r="D23" s="15" t="str">
        <f t="shared" si="3"/>
        <v>vis</v>
      </c>
      <c r="E23" s="47">
        <f>VLOOKUP(C23,Active!C$21:E$970,3,FALSE)</f>
        <v>-6003.9999141062881</v>
      </c>
      <c r="F23" s="5" t="s">
        <v>57</v>
      </c>
      <c r="G23" s="15" t="str">
        <f t="shared" si="4"/>
        <v>27503.393</v>
      </c>
      <c r="H23" s="12">
        <f t="shared" si="5"/>
        <v>-6004</v>
      </c>
      <c r="I23" s="48" t="s">
        <v>59</v>
      </c>
      <c r="J23" s="49" t="s">
        <v>60</v>
      </c>
      <c r="K23" s="48">
        <v>-6004</v>
      </c>
      <c r="L23" s="48" t="s">
        <v>61</v>
      </c>
      <c r="M23" s="49" t="s">
        <v>62</v>
      </c>
      <c r="N23" s="49"/>
      <c r="O23" s="50" t="s">
        <v>63</v>
      </c>
      <c r="P23" s="50" t="s">
        <v>64</v>
      </c>
    </row>
    <row r="24" spans="1:16" ht="12.75" customHeight="1" thickBot="1" x14ac:dyDescent="0.25">
      <c r="A24" s="12" t="str">
        <f t="shared" si="0"/>
        <v> IODE 4.2.144 </v>
      </c>
      <c r="B24" s="5" t="str">
        <f t="shared" si="1"/>
        <v>I</v>
      </c>
      <c r="C24" s="12">
        <f t="shared" si="2"/>
        <v>31173.22</v>
      </c>
      <c r="D24" s="15" t="str">
        <f t="shared" si="3"/>
        <v>vis</v>
      </c>
      <c r="E24" s="47">
        <f>VLOOKUP(C24,Active!C$21:E$970,3,FALSE)</f>
        <v>-34.017489782226995</v>
      </c>
      <c r="F24" s="5" t="s">
        <v>57</v>
      </c>
      <c r="G24" s="15" t="str">
        <f t="shared" si="4"/>
        <v>31173.22</v>
      </c>
      <c r="H24" s="12">
        <f t="shared" si="5"/>
        <v>-34</v>
      </c>
      <c r="I24" s="48" t="s">
        <v>65</v>
      </c>
      <c r="J24" s="49" t="s">
        <v>66</v>
      </c>
      <c r="K24" s="48">
        <v>-34</v>
      </c>
      <c r="L24" s="48" t="s">
        <v>67</v>
      </c>
      <c r="M24" s="49" t="s">
        <v>62</v>
      </c>
      <c r="N24" s="49"/>
      <c r="O24" s="50" t="s">
        <v>68</v>
      </c>
      <c r="P24" s="50" t="s">
        <v>69</v>
      </c>
    </row>
    <row r="25" spans="1:16" ht="12.75" customHeight="1" thickBot="1" x14ac:dyDescent="0.25">
      <c r="A25" s="12" t="str">
        <f t="shared" si="0"/>
        <v> IODE 4.2.144 </v>
      </c>
      <c r="B25" s="5" t="str">
        <f t="shared" si="1"/>
        <v>I</v>
      </c>
      <c r="C25" s="12">
        <f t="shared" si="2"/>
        <v>31176.33</v>
      </c>
      <c r="D25" s="15" t="str">
        <f t="shared" si="3"/>
        <v>vis</v>
      </c>
      <c r="E25" s="47">
        <f>VLOOKUP(C25,Active!C$21:E$970,3,FALSE)</f>
        <v>-28.958219865783715</v>
      </c>
      <c r="F25" s="5" t="s">
        <v>57</v>
      </c>
      <c r="G25" s="15" t="str">
        <f t="shared" si="4"/>
        <v>31176.33</v>
      </c>
      <c r="H25" s="12">
        <f t="shared" si="5"/>
        <v>-29</v>
      </c>
      <c r="I25" s="48" t="s">
        <v>70</v>
      </c>
      <c r="J25" s="49" t="s">
        <v>71</v>
      </c>
      <c r="K25" s="48">
        <v>-29</v>
      </c>
      <c r="L25" s="48" t="s">
        <v>72</v>
      </c>
      <c r="M25" s="49" t="s">
        <v>62</v>
      </c>
      <c r="N25" s="49"/>
      <c r="O25" s="50" t="s">
        <v>68</v>
      </c>
      <c r="P25" s="50" t="s">
        <v>69</v>
      </c>
    </row>
    <row r="26" spans="1:16" ht="12.75" customHeight="1" thickBot="1" x14ac:dyDescent="0.25">
      <c r="A26" s="12" t="str">
        <f t="shared" si="0"/>
        <v> IODE 4.2.144 </v>
      </c>
      <c r="B26" s="5" t="str">
        <f t="shared" si="1"/>
        <v>I</v>
      </c>
      <c r="C26" s="12">
        <f t="shared" si="2"/>
        <v>31178.13</v>
      </c>
      <c r="D26" s="15" t="str">
        <f t="shared" si="3"/>
        <v>vis</v>
      </c>
      <c r="E26" s="47">
        <f>VLOOKUP(C26,Active!C$21:E$970,3,FALSE)</f>
        <v>-26.030025058840781</v>
      </c>
      <c r="F26" s="5" t="s">
        <v>57</v>
      </c>
      <c r="G26" s="15" t="str">
        <f t="shared" si="4"/>
        <v>31178.13</v>
      </c>
      <c r="H26" s="12">
        <f t="shared" si="5"/>
        <v>-26</v>
      </c>
      <c r="I26" s="48" t="s">
        <v>73</v>
      </c>
      <c r="J26" s="49" t="s">
        <v>74</v>
      </c>
      <c r="K26" s="48">
        <v>-26</v>
      </c>
      <c r="L26" s="48" t="s">
        <v>75</v>
      </c>
      <c r="M26" s="49" t="s">
        <v>62</v>
      </c>
      <c r="N26" s="49"/>
      <c r="O26" s="50" t="s">
        <v>68</v>
      </c>
      <c r="P26" s="50" t="s">
        <v>69</v>
      </c>
    </row>
    <row r="27" spans="1:16" ht="12.75" customHeight="1" thickBot="1" x14ac:dyDescent="0.25">
      <c r="A27" s="12" t="str">
        <f t="shared" si="0"/>
        <v> IODE 4.2.144 </v>
      </c>
      <c r="B27" s="5" t="str">
        <f t="shared" si="1"/>
        <v>I</v>
      </c>
      <c r="C27" s="12">
        <f t="shared" si="2"/>
        <v>31181.24</v>
      </c>
      <c r="D27" s="15" t="str">
        <f t="shared" si="3"/>
        <v>vis</v>
      </c>
      <c r="E27" s="47">
        <f>VLOOKUP(C27,Active!C$21:E$970,3,FALSE)</f>
        <v>-20.9707551423975</v>
      </c>
      <c r="F27" s="5" t="s">
        <v>57</v>
      </c>
      <c r="G27" s="15" t="str">
        <f t="shared" si="4"/>
        <v>31181.24</v>
      </c>
      <c r="H27" s="12">
        <f t="shared" si="5"/>
        <v>-21</v>
      </c>
      <c r="I27" s="48" t="s">
        <v>76</v>
      </c>
      <c r="J27" s="49" t="s">
        <v>77</v>
      </c>
      <c r="K27" s="48">
        <v>-21</v>
      </c>
      <c r="L27" s="48" t="s">
        <v>78</v>
      </c>
      <c r="M27" s="49" t="s">
        <v>62</v>
      </c>
      <c r="N27" s="49"/>
      <c r="O27" s="50" t="s">
        <v>68</v>
      </c>
      <c r="P27" s="50" t="s">
        <v>69</v>
      </c>
    </row>
    <row r="28" spans="1:16" ht="12.75" customHeight="1" thickBot="1" x14ac:dyDescent="0.25">
      <c r="A28" s="12" t="str">
        <f t="shared" si="0"/>
        <v> IODE 4.2.144 </v>
      </c>
      <c r="B28" s="5" t="str">
        <f t="shared" si="1"/>
        <v>I</v>
      </c>
      <c r="C28" s="12">
        <f t="shared" si="2"/>
        <v>31194.12</v>
      </c>
      <c r="D28" s="15" t="str">
        <f t="shared" si="3"/>
        <v>vis</v>
      </c>
      <c r="E28" s="47">
        <f>VLOOKUP(C28,Active!C$21:E$970,3,FALSE)</f>
        <v>-1.7894523823859639E-2</v>
      </c>
      <c r="F28" s="5" t="s">
        <v>57</v>
      </c>
      <c r="G28" s="15" t="str">
        <f t="shared" si="4"/>
        <v>31194.12</v>
      </c>
      <c r="H28" s="12">
        <f t="shared" si="5"/>
        <v>0</v>
      </c>
      <c r="I28" s="48" t="s">
        <v>79</v>
      </c>
      <c r="J28" s="49" t="s">
        <v>80</v>
      </c>
      <c r="K28" s="48">
        <v>0</v>
      </c>
      <c r="L28" s="48" t="s">
        <v>67</v>
      </c>
      <c r="M28" s="49" t="s">
        <v>62</v>
      </c>
      <c r="N28" s="49"/>
      <c r="O28" s="50" t="s">
        <v>68</v>
      </c>
      <c r="P28" s="50" t="s">
        <v>69</v>
      </c>
    </row>
    <row r="29" spans="1:16" ht="12.75" customHeight="1" thickBot="1" x14ac:dyDescent="0.25">
      <c r="A29" s="12" t="str">
        <f t="shared" si="0"/>
        <v> IODE 4.2.144 </v>
      </c>
      <c r="B29" s="5" t="str">
        <f t="shared" si="1"/>
        <v>I</v>
      </c>
      <c r="C29" s="12">
        <f t="shared" si="2"/>
        <v>31197.17</v>
      </c>
      <c r="D29" s="15" t="str">
        <f t="shared" si="3"/>
        <v>vis</v>
      </c>
      <c r="E29" s="47">
        <f>VLOOKUP(C29,Active!C$21:E$970,3,FALSE)</f>
        <v>4.943768899052488</v>
      </c>
      <c r="F29" s="5" t="s">
        <v>57</v>
      </c>
      <c r="G29" s="15" t="str">
        <f t="shared" si="4"/>
        <v>31197.17</v>
      </c>
      <c r="H29" s="12">
        <f t="shared" si="5"/>
        <v>5</v>
      </c>
      <c r="I29" s="48" t="s">
        <v>81</v>
      </c>
      <c r="J29" s="49" t="s">
        <v>82</v>
      </c>
      <c r="K29" s="48">
        <v>5</v>
      </c>
      <c r="L29" s="48" t="s">
        <v>83</v>
      </c>
      <c r="M29" s="49" t="s">
        <v>62</v>
      </c>
      <c r="N29" s="49"/>
      <c r="O29" s="50" t="s">
        <v>68</v>
      </c>
      <c r="P29" s="50" t="s">
        <v>69</v>
      </c>
    </row>
    <row r="30" spans="1:16" ht="12.75" customHeight="1" thickBot="1" x14ac:dyDescent="0.25">
      <c r="A30" s="12" t="str">
        <f t="shared" si="0"/>
        <v> IODE 4.2.144 </v>
      </c>
      <c r="B30" s="5" t="str">
        <f t="shared" si="1"/>
        <v>I</v>
      </c>
      <c r="C30" s="12">
        <f t="shared" si="2"/>
        <v>31208.22</v>
      </c>
      <c r="D30" s="15" t="str">
        <f t="shared" si="3"/>
        <v>vis</v>
      </c>
      <c r="E30" s="47">
        <f>VLOOKUP(C30,Active!C$21:E$970,3,FALSE)</f>
        <v>22.919631463908605</v>
      </c>
      <c r="F30" s="5" t="s">
        <v>57</v>
      </c>
      <c r="G30" s="15" t="str">
        <f t="shared" si="4"/>
        <v>31208.22</v>
      </c>
      <c r="H30" s="12">
        <f t="shared" si="5"/>
        <v>23</v>
      </c>
      <c r="I30" s="48" t="s">
        <v>84</v>
      </c>
      <c r="J30" s="49" t="s">
        <v>85</v>
      </c>
      <c r="K30" s="48">
        <v>23</v>
      </c>
      <c r="L30" s="48" t="s">
        <v>86</v>
      </c>
      <c r="M30" s="49" t="s">
        <v>62</v>
      </c>
      <c r="N30" s="49"/>
      <c r="O30" s="50" t="s">
        <v>68</v>
      </c>
      <c r="P30" s="50" t="s">
        <v>69</v>
      </c>
    </row>
    <row r="31" spans="1:16" ht="12.75" customHeight="1" thickBot="1" x14ac:dyDescent="0.25">
      <c r="A31" s="12" t="str">
        <f t="shared" si="0"/>
        <v> IODE 4.2.144 </v>
      </c>
      <c r="B31" s="5" t="str">
        <f t="shared" si="1"/>
        <v>I</v>
      </c>
      <c r="C31" s="12">
        <f t="shared" si="2"/>
        <v>31221.17</v>
      </c>
      <c r="D31" s="15" t="str">
        <f t="shared" si="3"/>
        <v>vis</v>
      </c>
      <c r="E31" s="47">
        <f>VLOOKUP(C31,Active!C$21:E$970,3,FALSE)</f>
        <v>43.986366324974043</v>
      </c>
      <c r="F31" s="5" t="s">
        <v>57</v>
      </c>
      <c r="G31" s="15" t="str">
        <f t="shared" si="4"/>
        <v>31221.17</v>
      </c>
      <c r="H31" s="12">
        <f t="shared" si="5"/>
        <v>44</v>
      </c>
      <c r="I31" s="48" t="s">
        <v>87</v>
      </c>
      <c r="J31" s="49" t="s">
        <v>88</v>
      </c>
      <c r="K31" s="48">
        <v>44</v>
      </c>
      <c r="L31" s="48" t="s">
        <v>67</v>
      </c>
      <c r="M31" s="49" t="s">
        <v>62</v>
      </c>
      <c r="N31" s="49"/>
      <c r="O31" s="50" t="s">
        <v>68</v>
      </c>
      <c r="P31" s="50" t="s">
        <v>69</v>
      </c>
    </row>
    <row r="32" spans="1:16" ht="12.75" customHeight="1" thickBot="1" x14ac:dyDescent="0.25">
      <c r="A32" s="12" t="str">
        <f t="shared" si="0"/>
        <v> AOEB 9 </v>
      </c>
      <c r="B32" s="5" t="str">
        <f t="shared" si="1"/>
        <v>I</v>
      </c>
      <c r="C32" s="12">
        <f t="shared" si="2"/>
        <v>43538.79</v>
      </c>
      <c r="D32" s="15" t="str">
        <f t="shared" si="3"/>
        <v>vis</v>
      </c>
      <c r="E32" s="47">
        <f>VLOOKUP(C32,Active!C$21:E$970,3,FALSE)</f>
        <v>20081.981320719973</v>
      </c>
      <c r="F32" s="5" t="s">
        <v>57</v>
      </c>
      <c r="G32" s="15" t="str">
        <f t="shared" si="4"/>
        <v>43538.790</v>
      </c>
      <c r="H32" s="12">
        <f t="shared" si="5"/>
        <v>20060</v>
      </c>
      <c r="I32" s="48" t="s">
        <v>89</v>
      </c>
      <c r="J32" s="49" t="s">
        <v>90</v>
      </c>
      <c r="K32" s="48">
        <v>20060</v>
      </c>
      <c r="L32" s="48" t="s">
        <v>91</v>
      </c>
      <c r="M32" s="49" t="s">
        <v>62</v>
      </c>
      <c r="N32" s="49"/>
      <c r="O32" s="50" t="s">
        <v>92</v>
      </c>
      <c r="P32" s="50" t="s">
        <v>93</v>
      </c>
    </row>
    <row r="33" spans="1:16" ht="12.75" customHeight="1" thickBot="1" x14ac:dyDescent="0.25">
      <c r="A33" s="12" t="str">
        <f t="shared" si="0"/>
        <v> AOEB 9 </v>
      </c>
      <c r="B33" s="5" t="str">
        <f t="shared" si="1"/>
        <v>I</v>
      </c>
      <c r="C33" s="12">
        <f t="shared" si="2"/>
        <v>44307.800999999999</v>
      </c>
      <c r="D33" s="15" t="str">
        <f t="shared" si="3"/>
        <v>vis</v>
      </c>
      <c r="E33" s="47">
        <f>VLOOKUP(C33,Active!C$21:E$970,3,FALSE)</f>
        <v>21332.989107766025</v>
      </c>
      <c r="F33" s="5" t="s">
        <v>57</v>
      </c>
      <c r="G33" s="15" t="str">
        <f t="shared" si="4"/>
        <v>44307.801</v>
      </c>
      <c r="H33" s="12">
        <f t="shared" si="5"/>
        <v>21311</v>
      </c>
      <c r="I33" s="48" t="s">
        <v>94</v>
      </c>
      <c r="J33" s="49" t="s">
        <v>95</v>
      </c>
      <c r="K33" s="48">
        <v>21311</v>
      </c>
      <c r="L33" s="48" t="s">
        <v>96</v>
      </c>
      <c r="M33" s="49" t="s">
        <v>62</v>
      </c>
      <c r="N33" s="49"/>
      <c r="O33" s="50" t="s">
        <v>92</v>
      </c>
      <c r="P33" s="50" t="s">
        <v>93</v>
      </c>
    </row>
    <row r="34" spans="1:16" ht="12.75" customHeight="1" thickBot="1" x14ac:dyDescent="0.25">
      <c r="A34" s="12" t="str">
        <f t="shared" si="0"/>
        <v> AOEB 9 </v>
      </c>
      <c r="B34" s="5" t="str">
        <f t="shared" si="1"/>
        <v>I</v>
      </c>
      <c r="C34" s="12">
        <f t="shared" si="2"/>
        <v>44320.707000000002</v>
      </c>
      <c r="D34" s="15" t="str">
        <f t="shared" si="3"/>
        <v>vis</v>
      </c>
      <c r="E34" s="47">
        <f>VLOOKUP(C34,Active!C$21:E$970,3,FALSE)</f>
        <v>21353.98426453182</v>
      </c>
      <c r="F34" s="5" t="s">
        <v>57</v>
      </c>
      <c r="G34" s="15" t="str">
        <f t="shared" si="4"/>
        <v>44320.707</v>
      </c>
      <c r="H34" s="12">
        <f t="shared" si="5"/>
        <v>21332</v>
      </c>
      <c r="I34" s="48" t="s">
        <v>97</v>
      </c>
      <c r="J34" s="49" t="s">
        <v>98</v>
      </c>
      <c r="K34" s="48">
        <v>21332</v>
      </c>
      <c r="L34" s="48" t="s">
        <v>99</v>
      </c>
      <c r="M34" s="49" t="s">
        <v>62</v>
      </c>
      <c r="N34" s="49"/>
      <c r="O34" s="50" t="s">
        <v>100</v>
      </c>
      <c r="P34" s="50" t="s">
        <v>93</v>
      </c>
    </row>
    <row r="35" spans="1:16" ht="12.75" customHeight="1" thickBot="1" x14ac:dyDescent="0.25">
      <c r="A35" s="12" t="str">
        <f t="shared" si="0"/>
        <v> AOEB 9 </v>
      </c>
      <c r="B35" s="5" t="str">
        <f t="shared" si="1"/>
        <v>I</v>
      </c>
      <c r="C35" s="12">
        <f t="shared" si="2"/>
        <v>44660.637000000002</v>
      </c>
      <c r="D35" s="15" t="str">
        <f t="shared" si="3"/>
        <v>vis</v>
      </c>
      <c r="E35" s="47">
        <f>VLOOKUP(C35,Active!C$21:E$970,3,FALSE)</f>
        <v>21906.973853823216</v>
      </c>
      <c r="F35" s="5" t="s">
        <v>57</v>
      </c>
      <c r="G35" s="15" t="str">
        <f t="shared" si="4"/>
        <v>44660.637</v>
      </c>
      <c r="H35" s="12">
        <f t="shared" si="5"/>
        <v>21885</v>
      </c>
      <c r="I35" s="48" t="s">
        <v>101</v>
      </c>
      <c r="J35" s="49" t="s">
        <v>102</v>
      </c>
      <c r="K35" s="48">
        <v>21885</v>
      </c>
      <c r="L35" s="48" t="s">
        <v>103</v>
      </c>
      <c r="M35" s="49" t="s">
        <v>62</v>
      </c>
      <c r="N35" s="49"/>
      <c r="O35" s="50" t="s">
        <v>92</v>
      </c>
      <c r="P35" s="50" t="s">
        <v>93</v>
      </c>
    </row>
    <row r="36" spans="1:16" ht="12.75" customHeight="1" thickBot="1" x14ac:dyDescent="0.25">
      <c r="A36" s="12" t="str">
        <f t="shared" si="0"/>
        <v> AOEB 9 </v>
      </c>
      <c r="B36" s="5" t="str">
        <f t="shared" si="1"/>
        <v>I</v>
      </c>
      <c r="C36" s="12">
        <f t="shared" si="2"/>
        <v>44679.697</v>
      </c>
      <c r="D36" s="15" t="str">
        <f t="shared" si="3"/>
        <v>vis</v>
      </c>
      <c r="E36" s="47">
        <f>VLOOKUP(C36,Active!C$21:E$970,3,FALSE)</f>
        <v>21937.980183278967</v>
      </c>
      <c r="F36" s="5" t="s">
        <v>57</v>
      </c>
      <c r="G36" s="15" t="str">
        <f t="shared" si="4"/>
        <v>44679.697</v>
      </c>
      <c r="H36" s="12">
        <f t="shared" si="5"/>
        <v>21916</v>
      </c>
      <c r="I36" s="48" t="s">
        <v>104</v>
      </c>
      <c r="J36" s="49" t="s">
        <v>105</v>
      </c>
      <c r="K36" s="48">
        <v>21916</v>
      </c>
      <c r="L36" s="48" t="s">
        <v>91</v>
      </c>
      <c r="M36" s="49" t="s">
        <v>62</v>
      </c>
      <c r="N36" s="49"/>
      <c r="O36" s="50" t="s">
        <v>100</v>
      </c>
      <c r="P36" s="50" t="s">
        <v>93</v>
      </c>
    </row>
    <row r="37" spans="1:16" ht="12.75" customHeight="1" thickBot="1" x14ac:dyDescent="0.25">
      <c r="A37" s="12" t="str">
        <f t="shared" si="0"/>
        <v> AOEB 9 </v>
      </c>
      <c r="B37" s="5" t="str">
        <f t="shared" si="1"/>
        <v>I</v>
      </c>
      <c r="C37" s="12">
        <f t="shared" si="2"/>
        <v>45352.813000000002</v>
      </c>
      <c r="D37" s="15" t="str">
        <f t="shared" si="3"/>
        <v>vis</v>
      </c>
      <c r="E37" s="47">
        <f>VLOOKUP(C37,Active!C$21:E$970,3,FALSE)</f>
        <v>23032.988391985076</v>
      </c>
      <c r="F37" s="5" t="s">
        <v>57</v>
      </c>
      <c r="G37" s="15" t="str">
        <f t="shared" si="4"/>
        <v>45352.813</v>
      </c>
      <c r="H37" s="12">
        <f t="shared" si="5"/>
        <v>23011</v>
      </c>
      <c r="I37" s="48" t="s">
        <v>106</v>
      </c>
      <c r="J37" s="49" t="s">
        <v>107</v>
      </c>
      <c r="K37" s="48">
        <v>23011</v>
      </c>
      <c r="L37" s="48" t="s">
        <v>96</v>
      </c>
      <c r="M37" s="49" t="s">
        <v>62</v>
      </c>
      <c r="N37" s="49"/>
      <c r="O37" s="50" t="s">
        <v>92</v>
      </c>
      <c r="P37" s="50" t="s">
        <v>93</v>
      </c>
    </row>
    <row r="38" spans="1:16" ht="12.75" customHeight="1" thickBot="1" x14ac:dyDescent="0.25">
      <c r="A38" s="12" t="str">
        <f t="shared" si="0"/>
        <v> VSSC 64.23 </v>
      </c>
      <c r="B38" s="5" t="str">
        <f t="shared" si="1"/>
        <v>I</v>
      </c>
      <c r="C38" s="12">
        <f t="shared" si="2"/>
        <v>46114.442000000003</v>
      </c>
      <c r="D38" s="15" t="str">
        <f t="shared" si="3"/>
        <v>vis</v>
      </c>
      <c r="E38" s="47">
        <f>VLOOKUP(C38,Active!C$21:E$970,3,FALSE)</f>
        <v>24271.98732677288</v>
      </c>
      <c r="F38" s="5" t="s">
        <v>57</v>
      </c>
      <c r="G38" s="15" t="str">
        <f t="shared" si="4"/>
        <v>46114.442</v>
      </c>
      <c r="H38" s="12">
        <f t="shared" si="5"/>
        <v>24250</v>
      </c>
      <c r="I38" s="48" t="s">
        <v>108</v>
      </c>
      <c r="J38" s="49" t="s">
        <v>109</v>
      </c>
      <c r="K38" s="48">
        <v>24250</v>
      </c>
      <c r="L38" s="48" t="s">
        <v>110</v>
      </c>
      <c r="M38" s="49" t="s">
        <v>62</v>
      </c>
      <c r="N38" s="49"/>
      <c r="O38" s="50" t="s">
        <v>111</v>
      </c>
      <c r="P38" s="50" t="s">
        <v>112</v>
      </c>
    </row>
    <row r="39" spans="1:16" ht="12.75" customHeight="1" thickBot="1" x14ac:dyDescent="0.25">
      <c r="A39" s="12" t="str">
        <f t="shared" si="0"/>
        <v> VSSC 64.23 </v>
      </c>
      <c r="B39" s="5" t="str">
        <f t="shared" si="1"/>
        <v>I</v>
      </c>
      <c r="C39" s="12">
        <f t="shared" si="2"/>
        <v>46135.334000000003</v>
      </c>
      <c r="D39" s="15" t="str">
        <f t="shared" si="3"/>
        <v>vis</v>
      </c>
      <c r="E39" s="47">
        <f>VLOOKUP(C39,Active!C$21:E$970,3,FALSE)</f>
        <v>24305.973907832144</v>
      </c>
      <c r="F39" s="5" t="s">
        <v>57</v>
      </c>
      <c r="G39" s="15" t="str">
        <f t="shared" si="4"/>
        <v>46135.334</v>
      </c>
      <c r="H39" s="12">
        <f t="shared" si="5"/>
        <v>24284</v>
      </c>
      <c r="I39" s="48" t="s">
        <v>113</v>
      </c>
      <c r="J39" s="49" t="s">
        <v>114</v>
      </c>
      <c r="K39" s="48">
        <v>24284</v>
      </c>
      <c r="L39" s="48" t="s">
        <v>103</v>
      </c>
      <c r="M39" s="49" t="s">
        <v>62</v>
      </c>
      <c r="N39" s="49"/>
      <c r="O39" s="50" t="s">
        <v>111</v>
      </c>
      <c r="P39" s="50" t="s">
        <v>112</v>
      </c>
    </row>
    <row r="40" spans="1:16" ht="12.75" customHeight="1" thickBot="1" x14ac:dyDescent="0.25">
      <c r="A40" s="12" t="str">
        <f t="shared" si="0"/>
        <v> AOEB 9 </v>
      </c>
      <c r="B40" s="5" t="str">
        <f t="shared" si="1"/>
        <v>I</v>
      </c>
      <c r="C40" s="12">
        <f t="shared" si="2"/>
        <v>46908.652999999998</v>
      </c>
      <c r="D40" s="15" t="str">
        <f t="shared" si="3"/>
        <v>vis</v>
      </c>
      <c r="E40" s="47">
        <f>VLOOKUP(C40,Active!C$21:E$970,3,FALSE)</f>
        <v>25563.989841116148</v>
      </c>
      <c r="F40" s="5" t="s">
        <v>57</v>
      </c>
      <c r="G40" s="15" t="str">
        <f t="shared" si="4"/>
        <v>46908.653</v>
      </c>
      <c r="H40" s="12">
        <f t="shared" si="5"/>
        <v>25542</v>
      </c>
      <c r="I40" s="48" t="s">
        <v>115</v>
      </c>
      <c r="J40" s="49" t="s">
        <v>116</v>
      </c>
      <c r="K40" s="48">
        <v>25542</v>
      </c>
      <c r="L40" s="48" t="s">
        <v>96</v>
      </c>
      <c r="M40" s="49" t="s">
        <v>62</v>
      </c>
      <c r="N40" s="49"/>
      <c r="O40" s="50" t="s">
        <v>117</v>
      </c>
      <c r="P40" s="50" t="s">
        <v>93</v>
      </c>
    </row>
    <row r="41" spans="1:16" ht="12.75" customHeight="1" thickBot="1" x14ac:dyDescent="0.25">
      <c r="A41" s="12" t="str">
        <f t="shared" si="0"/>
        <v> AOEB 9 </v>
      </c>
      <c r="B41" s="5" t="str">
        <f t="shared" si="1"/>
        <v>I</v>
      </c>
      <c r="C41" s="12">
        <f t="shared" si="2"/>
        <v>50520.69</v>
      </c>
      <c r="D41" s="15" t="str">
        <f t="shared" si="3"/>
        <v>vis</v>
      </c>
      <c r="E41" s="47">
        <f>VLOOKUP(C41,Active!C$21:E$970,3,FALSE)</f>
        <v>31439.960944388378</v>
      </c>
      <c r="F41" s="5" t="s">
        <v>57</v>
      </c>
      <c r="G41" s="15" t="str">
        <f t="shared" si="4"/>
        <v>50520.690</v>
      </c>
      <c r="H41" s="12">
        <f t="shared" si="5"/>
        <v>31413</v>
      </c>
      <c r="I41" s="48" t="s">
        <v>118</v>
      </c>
      <c r="J41" s="49" t="s">
        <v>119</v>
      </c>
      <c r="K41" s="48">
        <v>31413</v>
      </c>
      <c r="L41" s="48" t="s">
        <v>120</v>
      </c>
      <c r="M41" s="49" t="s">
        <v>62</v>
      </c>
      <c r="N41" s="49"/>
      <c r="O41" s="50" t="s">
        <v>117</v>
      </c>
      <c r="P41" s="50" t="s">
        <v>93</v>
      </c>
    </row>
    <row r="42" spans="1:16" ht="12.75" customHeight="1" thickBot="1" x14ac:dyDescent="0.25">
      <c r="A42" s="12" t="str">
        <f t="shared" si="0"/>
        <v> AOEB 9 </v>
      </c>
      <c r="B42" s="5" t="str">
        <f t="shared" si="1"/>
        <v>I</v>
      </c>
      <c r="C42" s="12">
        <f t="shared" si="2"/>
        <v>51996.618999999999</v>
      </c>
      <c r="D42" s="15" t="str">
        <f t="shared" si="3"/>
        <v>vis</v>
      </c>
      <c r="E42" s="47">
        <f>VLOOKUP(C42,Active!C$21:E$970,3,FALSE)</f>
        <v>33840.965185065164</v>
      </c>
      <c r="F42" s="5" t="s">
        <v>57</v>
      </c>
      <c r="G42" s="15" t="str">
        <f t="shared" si="4"/>
        <v>51996.6190</v>
      </c>
      <c r="H42" s="12">
        <f t="shared" si="5"/>
        <v>33814</v>
      </c>
      <c r="I42" s="48" t="s">
        <v>121</v>
      </c>
      <c r="J42" s="49" t="s">
        <v>122</v>
      </c>
      <c r="K42" s="48">
        <v>33814</v>
      </c>
      <c r="L42" s="48" t="s">
        <v>123</v>
      </c>
      <c r="M42" s="49" t="s">
        <v>124</v>
      </c>
      <c r="N42" s="49" t="s">
        <v>125</v>
      </c>
      <c r="O42" s="50" t="s">
        <v>92</v>
      </c>
      <c r="P42" s="50" t="s">
        <v>93</v>
      </c>
    </row>
    <row r="43" spans="1:16" ht="12.75" customHeight="1" thickBot="1" x14ac:dyDescent="0.25">
      <c r="A43" s="12" t="str">
        <f t="shared" si="0"/>
        <v> AOEB 9 </v>
      </c>
      <c r="B43" s="5" t="str">
        <f t="shared" si="1"/>
        <v>I</v>
      </c>
      <c r="C43" s="12">
        <f t="shared" si="2"/>
        <v>52616.858999999997</v>
      </c>
      <c r="D43" s="15" t="str">
        <f t="shared" si="3"/>
        <v>vis</v>
      </c>
      <c r="E43" s="47">
        <f>VLOOKUP(C43,Active!C$21:E$970,3,FALSE)</f>
        <v>34849.956044542392</v>
      </c>
      <c r="F43" s="5" t="s">
        <v>57</v>
      </c>
      <c r="G43" s="15" t="str">
        <f t="shared" si="4"/>
        <v>52616.8590</v>
      </c>
      <c r="H43" s="12">
        <f t="shared" si="5"/>
        <v>34823</v>
      </c>
      <c r="I43" s="48" t="s">
        <v>126</v>
      </c>
      <c r="J43" s="49" t="s">
        <v>127</v>
      </c>
      <c r="K43" s="48">
        <v>34823</v>
      </c>
      <c r="L43" s="48" t="s">
        <v>128</v>
      </c>
      <c r="M43" s="49" t="s">
        <v>124</v>
      </c>
      <c r="N43" s="49" t="s">
        <v>125</v>
      </c>
      <c r="O43" s="50" t="s">
        <v>92</v>
      </c>
      <c r="P43" s="50" t="s">
        <v>93</v>
      </c>
    </row>
    <row r="44" spans="1:16" ht="12.75" customHeight="1" thickBot="1" x14ac:dyDescent="0.25">
      <c r="A44" s="12" t="str">
        <f t="shared" si="0"/>
        <v> AOEB 9 </v>
      </c>
      <c r="B44" s="5" t="str">
        <f t="shared" si="1"/>
        <v>I</v>
      </c>
      <c r="C44" s="12">
        <f t="shared" si="2"/>
        <v>52648.8249</v>
      </c>
      <c r="D44" s="15" t="str">
        <f t="shared" si="3"/>
        <v>vis</v>
      </c>
      <c r="E44" s="47">
        <f>VLOOKUP(C44,Active!C$21:E$970,3,FALSE)</f>
        <v>34901.957368086449</v>
      </c>
      <c r="F44" s="5" t="s">
        <v>57</v>
      </c>
      <c r="G44" s="15" t="str">
        <f t="shared" si="4"/>
        <v>52648.8249</v>
      </c>
      <c r="H44" s="12">
        <f t="shared" si="5"/>
        <v>34875</v>
      </c>
      <c r="I44" s="48" t="s">
        <v>129</v>
      </c>
      <c r="J44" s="49" t="s">
        <v>130</v>
      </c>
      <c r="K44" s="48">
        <v>34875</v>
      </c>
      <c r="L44" s="48" t="s">
        <v>131</v>
      </c>
      <c r="M44" s="49" t="s">
        <v>124</v>
      </c>
      <c r="N44" s="49" t="s">
        <v>125</v>
      </c>
      <c r="O44" s="50" t="s">
        <v>132</v>
      </c>
      <c r="P44" s="50" t="s">
        <v>93</v>
      </c>
    </row>
    <row r="45" spans="1:16" ht="12.75" customHeight="1" thickBot="1" x14ac:dyDescent="0.25">
      <c r="A45" s="12" t="str">
        <f t="shared" si="0"/>
        <v> AOEB 9 </v>
      </c>
      <c r="B45" s="5" t="str">
        <f t="shared" si="1"/>
        <v>I</v>
      </c>
      <c r="C45" s="12">
        <f t="shared" si="2"/>
        <v>52741.648699999998</v>
      </c>
      <c r="D45" s="15" t="str">
        <f t="shared" si="3"/>
        <v>vis</v>
      </c>
      <c r="E45" s="47">
        <f>VLOOKUP(C45,Active!C$21:E$970,3,FALSE)</f>
        <v>35052.960795375795</v>
      </c>
      <c r="F45" s="5" t="s">
        <v>57</v>
      </c>
      <c r="G45" s="15" t="str">
        <f t="shared" si="4"/>
        <v>52741.6487</v>
      </c>
      <c r="H45" s="12">
        <f t="shared" si="5"/>
        <v>35026</v>
      </c>
      <c r="I45" s="48" t="s">
        <v>133</v>
      </c>
      <c r="J45" s="49" t="s">
        <v>134</v>
      </c>
      <c r="K45" s="48">
        <v>35026</v>
      </c>
      <c r="L45" s="48" t="s">
        <v>135</v>
      </c>
      <c r="M45" s="49" t="s">
        <v>124</v>
      </c>
      <c r="N45" s="49" t="s">
        <v>125</v>
      </c>
      <c r="O45" s="50" t="s">
        <v>136</v>
      </c>
      <c r="P45" s="50" t="s">
        <v>93</v>
      </c>
    </row>
    <row r="46" spans="1:16" ht="12.75" customHeight="1" thickBot="1" x14ac:dyDescent="0.25">
      <c r="A46" s="12" t="str">
        <f t="shared" si="0"/>
        <v> AOEB 9 </v>
      </c>
      <c r="B46" s="5" t="str">
        <f t="shared" si="1"/>
        <v>I</v>
      </c>
      <c r="C46" s="12">
        <f t="shared" si="2"/>
        <v>52741.6489</v>
      </c>
      <c r="D46" s="15" t="str">
        <f t="shared" si="3"/>
        <v>vis</v>
      </c>
      <c r="E46" s="47">
        <f>VLOOKUP(C46,Active!C$21:E$970,3,FALSE)</f>
        <v>35052.961120730775</v>
      </c>
      <c r="F46" s="5" t="s">
        <v>57</v>
      </c>
      <c r="G46" s="15" t="str">
        <f t="shared" si="4"/>
        <v>52741.6489</v>
      </c>
      <c r="H46" s="12">
        <f t="shared" si="5"/>
        <v>35026</v>
      </c>
      <c r="I46" s="48" t="s">
        <v>137</v>
      </c>
      <c r="J46" s="49" t="s">
        <v>134</v>
      </c>
      <c r="K46" s="48">
        <v>35026</v>
      </c>
      <c r="L46" s="48" t="s">
        <v>138</v>
      </c>
      <c r="M46" s="49" t="s">
        <v>124</v>
      </c>
      <c r="N46" s="49" t="s">
        <v>125</v>
      </c>
      <c r="O46" s="50" t="s">
        <v>92</v>
      </c>
      <c r="P46" s="50" t="s">
        <v>93</v>
      </c>
    </row>
    <row r="47" spans="1:16" ht="12.75" customHeight="1" thickBot="1" x14ac:dyDescent="0.25">
      <c r="A47" s="12" t="str">
        <f t="shared" si="0"/>
        <v> AOEB 9 </v>
      </c>
      <c r="B47" s="5" t="str">
        <f t="shared" si="1"/>
        <v>I</v>
      </c>
      <c r="C47" s="12">
        <f t="shared" si="2"/>
        <v>53057.6109</v>
      </c>
      <c r="D47" s="15" t="str">
        <f t="shared" si="3"/>
        <v>vis</v>
      </c>
      <c r="E47" s="47">
        <f>VLOOKUP(C47,Active!C$21:E$970,3,FALSE)</f>
        <v>35566.960169392813</v>
      </c>
      <c r="F47" s="5" t="s">
        <v>57</v>
      </c>
      <c r="G47" s="15" t="str">
        <f t="shared" si="4"/>
        <v>53057.6109</v>
      </c>
      <c r="H47" s="12">
        <f t="shared" si="5"/>
        <v>35540</v>
      </c>
      <c r="I47" s="48" t="s">
        <v>139</v>
      </c>
      <c r="J47" s="49" t="s">
        <v>140</v>
      </c>
      <c r="K47" s="48">
        <v>35540</v>
      </c>
      <c r="L47" s="48" t="s">
        <v>141</v>
      </c>
      <c r="M47" s="49" t="s">
        <v>124</v>
      </c>
      <c r="N47" s="49" t="s">
        <v>125</v>
      </c>
      <c r="O47" s="50" t="s">
        <v>92</v>
      </c>
      <c r="P47" s="50" t="s">
        <v>93</v>
      </c>
    </row>
    <row r="48" spans="1:16" ht="12.75" customHeight="1" thickBot="1" x14ac:dyDescent="0.25">
      <c r="A48" s="12" t="str">
        <f t="shared" si="0"/>
        <v> AOEB 12 </v>
      </c>
      <c r="B48" s="5" t="str">
        <f t="shared" si="1"/>
        <v>I</v>
      </c>
      <c r="C48" s="12">
        <f t="shared" si="2"/>
        <v>53432.584000000003</v>
      </c>
      <c r="D48" s="15" t="str">
        <f t="shared" si="3"/>
        <v>vis</v>
      </c>
      <c r="E48" s="47">
        <f>VLOOKUP(C48,Active!C$21:E$970,3,FALSE)</f>
        <v>36176.95699392823</v>
      </c>
      <c r="F48" s="5" t="s">
        <v>57</v>
      </c>
      <c r="G48" s="15" t="str">
        <f t="shared" si="4"/>
        <v>53432.5840</v>
      </c>
      <c r="H48" s="12">
        <f t="shared" si="5"/>
        <v>36150</v>
      </c>
      <c r="I48" s="48" t="s">
        <v>142</v>
      </c>
      <c r="J48" s="49" t="s">
        <v>143</v>
      </c>
      <c r="K48" s="48">
        <v>36150</v>
      </c>
      <c r="L48" s="48" t="s">
        <v>144</v>
      </c>
      <c r="M48" s="49" t="s">
        <v>124</v>
      </c>
      <c r="N48" s="49" t="s">
        <v>125</v>
      </c>
      <c r="O48" s="50" t="s">
        <v>92</v>
      </c>
      <c r="P48" s="50" t="s">
        <v>145</v>
      </c>
    </row>
    <row r="49" spans="1:16" ht="12.75" customHeight="1" thickBot="1" x14ac:dyDescent="0.25">
      <c r="A49" s="12" t="str">
        <f t="shared" si="0"/>
        <v>VSB 45 </v>
      </c>
      <c r="B49" s="5" t="str">
        <f t="shared" si="1"/>
        <v>I</v>
      </c>
      <c r="C49" s="12">
        <f t="shared" si="2"/>
        <v>53857.968099999998</v>
      </c>
      <c r="D49" s="15" t="str">
        <f t="shared" si="3"/>
        <v>vis</v>
      </c>
      <c r="E49" s="47">
        <f>VLOOKUP(C49,Active!C$21:E$970,3,FALSE)</f>
        <v>36868.961167581889</v>
      </c>
      <c r="F49" s="5" t="s">
        <v>57</v>
      </c>
      <c r="G49" s="15" t="str">
        <f t="shared" si="4"/>
        <v>53857.9681</v>
      </c>
      <c r="H49" s="12">
        <f t="shared" si="5"/>
        <v>36842</v>
      </c>
      <c r="I49" s="48" t="s">
        <v>153</v>
      </c>
      <c r="J49" s="49" t="s">
        <v>154</v>
      </c>
      <c r="K49" s="48" t="s">
        <v>155</v>
      </c>
      <c r="L49" s="48" t="s">
        <v>138</v>
      </c>
      <c r="M49" s="49" t="s">
        <v>149</v>
      </c>
      <c r="N49" s="49" t="s">
        <v>156</v>
      </c>
      <c r="O49" s="50" t="s">
        <v>157</v>
      </c>
      <c r="P49" s="51" t="s">
        <v>158</v>
      </c>
    </row>
    <row r="50" spans="1:16" ht="12.75" customHeight="1" thickBot="1" x14ac:dyDescent="0.25">
      <c r="A50" s="12" t="str">
        <f t="shared" si="0"/>
        <v>IBVS 5806 </v>
      </c>
      <c r="B50" s="5" t="str">
        <f t="shared" si="1"/>
        <v>I</v>
      </c>
      <c r="C50" s="12">
        <f t="shared" si="2"/>
        <v>54058.980100000001</v>
      </c>
      <c r="D50" s="15" t="str">
        <f t="shared" si="3"/>
        <v>vis</v>
      </c>
      <c r="E50" s="47" t="e">
        <f>VLOOKUP(C50,Active!C$21:E$970,3,FALSE)</f>
        <v>#N/A</v>
      </c>
      <c r="F50" s="5" t="s">
        <v>57</v>
      </c>
      <c r="G50" s="15" t="str">
        <f t="shared" si="4"/>
        <v>54058.9801</v>
      </c>
      <c r="H50" s="12">
        <f t="shared" si="5"/>
        <v>37169</v>
      </c>
      <c r="I50" s="48" t="s">
        <v>159</v>
      </c>
      <c r="J50" s="49" t="s">
        <v>160</v>
      </c>
      <c r="K50" s="48" t="s">
        <v>161</v>
      </c>
      <c r="L50" s="48" t="s">
        <v>162</v>
      </c>
      <c r="M50" s="49" t="s">
        <v>124</v>
      </c>
      <c r="N50" s="49" t="s">
        <v>163</v>
      </c>
      <c r="O50" s="50" t="s">
        <v>164</v>
      </c>
      <c r="P50" s="51" t="s">
        <v>165</v>
      </c>
    </row>
    <row r="51" spans="1:16" ht="12.75" customHeight="1" thickBot="1" x14ac:dyDescent="0.25">
      <c r="A51" s="12" t="str">
        <f t="shared" si="0"/>
        <v> AOEB 12 </v>
      </c>
      <c r="B51" s="5" t="str">
        <f t="shared" si="1"/>
        <v>I</v>
      </c>
      <c r="C51" s="12">
        <f t="shared" si="2"/>
        <v>54172.7022</v>
      </c>
      <c r="D51" s="15" t="str">
        <f t="shared" si="3"/>
        <v>vis</v>
      </c>
      <c r="E51" s="47">
        <f>VLOOKUP(C51,Active!C$21:E$970,3,FALSE)</f>
        <v>37380.962699353127</v>
      </c>
      <c r="F51" s="5" t="s">
        <v>57</v>
      </c>
      <c r="G51" s="15" t="str">
        <f t="shared" si="4"/>
        <v>54172.7022</v>
      </c>
      <c r="H51" s="12">
        <f t="shared" si="5"/>
        <v>37354</v>
      </c>
      <c r="I51" s="48" t="s">
        <v>171</v>
      </c>
      <c r="J51" s="49" t="s">
        <v>172</v>
      </c>
      <c r="K51" s="48" t="s">
        <v>173</v>
      </c>
      <c r="L51" s="48" t="s">
        <v>174</v>
      </c>
      <c r="M51" s="49" t="s">
        <v>124</v>
      </c>
      <c r="N51" s="49" t="s">
        <v>125</v>
      </c>
      <c r="O51" s="50" t="s">
        <v>175</v>
      </c>
      <c r="P51" s="50" t="s">
        <v>145</v>
      </c>
    </row>
    <row r="52" spans="1:16" ht="12.75" customHeight="1" thickBot="1" x14ac:dyDescent="0.25">
      <c r="A52" s="12" t="str">
        <f t="shared" si="0"/>
        <v> AOEB 12 </v>
      </c>
      <c r="B52" s="5" t="str">
        <f t="shared" si="1"/>
        <v>I</v>
      </c>
      <c r="C52" s="12">
        <f t="shared" si="2"/>
        <v>54212.657899999998</v>
      </c>
      <c r="D52" s="15" t="str">
        <f t="shared" si="3"/>
        <v>vis</v>
      </c>
      <c r="E52" s="47">
        <f>VLOOKUP(C52,Active!C$21:E$970,3,FALSE)</f>
        <v>37445.961628935249</v>
      </c>
      <c r="F52" s="5" t="s">
        <v>57</v>
      </c>
      <c r="G52" s="15" t="str">
        <f t="shared" si="4"/>
        <v>54212.6579</v>
      </c>
      <c r="H52" s="12">
        <f t="shared" si="5"/>
        <v>37419</v>
      </c>
      <c r="I52" s="48" t="s">
        <v>176</v>
      </c>
      <c r="J52" s="49" t="s">
        <v>177</v>
      </c>
      <c r="K52" s="48" t="s">
        <v>178</v>
      </c>
      <c r="L52" s="48" t="s">
        <v>179</v>
      </c>
      <c r="M52" s="49" t="s">
        <v>124</v>
      </c>
      <c r="N52" s="49" t="s">
        <v>125</v>
      </c>
      <c r="O52" s="50" t="s">
        <v>92</v>
      </c>
      <c r="P52" s="50" t="s">
        <v>145</v>
      </c>
    </row>
    <row r="53" spans="1:16" ht="12.75" customHeight="1" thickBot="1" x14ac:dyDescent="0.25">
      <c r="A53" s="12" t="str">
        <f t="shared" si="0"/>
        <v>VSB 48 </v>
      </c>
      <c r="B53" s="5" t="str">
        <f t="shared" si="1"/>
        <v>I</v>
      </c>
      <c r="C53" s="12">
        <f t="shared" si="2"/>
        <v>54816.302499999998</v>
      </c>
      <c r="D53" s="15" t="str">
        <f t="shared" si="3"/>
        <v>vis</v>
      </c>
      <c r="E53" s="47">
        <f>VLOOKUP(C53,Active!C$21:E$970,3,FALSE)</f>
        <v>38427.955508357394</v>
      </c>
      <c r="F53" s="5" t="s">
        <v>57</v>
      </c>
      <c r="G53" s="15" t="str">
        <f t="shared" si="4"/>
        <v>54816.3025</v>
      </c>
      <c r="H53" s="12">
        <f t="shared" si="5"/>
        <v>38401</v>
      </c>
      <c r="I53" s="48" t="s">
        <v>191</v>
      </c>
      <c r="J53" s="49" t="s">
        <v>192</v>
      </c>
      <c r="K53" s="48" t="s">
        <v>193</v>
      </c>
      <c r="L53" s="48" t="s">
        <v>194</v>
      </c>
      <c r="M53" s="49" t="s">
        <v>124</v>
      </c>
      <c r="N53" s="49" t="s">
        <v>57</v>
      </c>
      <c r="O53" s="50" t="s">
        <v>195</v>
      </c>
      <c r="P53" s="51" t="s">
        <v>196</v>
      </c>
    </row>
    <row r="54" spans="1:16" ht="12.75" customHeight="1" thickBot="1" x14ac:dyDescent="0.25">
      <c r="A54" s="12" t="str">
        <f t="shared" si="0"/>
        <v>VSB 53 </v>
      </c>
      <c r="B54" s="5" t="str">
        <f t="shared" si="1"/>
        <v>I</v>
      </c>
      <c r="C54" s="12">
        <f t="shared" si="2"/>
        <v>55632.646999999997</v>
      </c>
      <c r="D54" s="15" t="str">
        <f t="shared" si="3"/>
        <v>vis</v>
      </c>
      <c r="E54" s="47">
        <f>VLOOKUP(C54,Active!C$21:E$970,3,FALSE)</f>
        <v>39755.964244789277</v>
      </c>
      <c r="F54" s="5" t="s">
        <v>57</v>
      </c>
      <c r="G54" s="15" t="str">
        <f t="shared" si="4"/>
        <v>55632.647</v>
      </c>
      <c r="H54" s="12">
        <f t="shared" si="5"/>
        <v>39729</v>
      </c>
      <c r="I54" s="48" t="s">
        <v>216</v>
      </c>
      <c r="J54" s="49" t="s">
        <v>217</v>
      </c>
      <c r="K54" s="48" t="s">
        <v>218</v>
      </c>
      <c r="L54" s="48" t="s">
        <v>219</v>
      </c>
      <c r="M54" s="49" t="s">
        <v>62</v>
      </c>
      <c r="N54" s="49"/>
      <c r="O54" s="50" t="s">
        <v>220</v>
      </c>
      <c r="P54" s="51" t="s">
        <v>221</v>
      </c>
    </row>
    <row r="55" spans="1:16" x14ac:dyDescent="0.2">
      <c r="B55" s="5"/>
      <c r="E55" s="47"/>
      <c r="F55" s="5"/>
    </row>
    <row r="56" spans="1:16" x14ac:dyDescent="0.2">
      <c r="B56" s="5"/>
      <c r="E56" s="47"/>
      <c r="F56" s="5"/>
    </row>
    <row r="57" spans="1:16" x14ac:dyDescent="0.2">
      <c r="B57" s="5"/>
      <c r="E57" s="47"/>
      <c r="F57" s="5"/>
    </row>
    <row r="58" spans="1:16" x14ac:dyDescent="0.2">
      <c r="B58" s="5"/>
      <c r="E58" s="47"/>
      <c r="F58" s="5"/>
    </row>
    <row r="59" spans="1:16" x14ac:dyDescent="0.2">
      <c r="B59" s="5"/>
      <c r="E59" s="47"/>
      <c r="F59" s="5"/>
    </row>
    <row r="60" spans="1:16" x14ac:dyDescent="0.2">
      <c r="B60" s="5"/>
      <c r="E60" s="47"/>
      <c r="F60" s="5"/>
    </row>
    <row r="61" spans="1:16" x14ac:dyDescent="0.2">
      <c r="B61" s="5"/>
      <c r="E61" s="47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</sheetData>
  <phoneticPr fontId="8" type="noConversion"/>
  <hyperlinks>
    <hyperlink ref="P11" r:id="rId1" display="http://www.bav-astro.de/sfs/BAVM_link.php?BAVMnr=173"/>
    <hyperlink ref="P49" r:id="rId2" display="http://vsolj.cetus-net.org/no45.pdf"/>
    <hyperlink ref="P50" r:id="rId3" display="http://www.konkoly.hu/cgi-bin/IBVS?5806"/>
    <hyperlink ref="P12" r:id="rId4" display="http://www.bav-astro.de/sfs/BAVM_link.php?BAVMnr=186"/>
    <hyperlink ref="P13" r:id="rId5" display="http://www.aavso.org/sites/default/files/jaavso/v36n2/186.pdf"/>
    <hyperlink ref="P14" r:id="rId6" display="http://www.bav-astro.de/sfs/BAVM_link.php?BAVMnr=201"/>
    <hyperlink ref="P53" r:id="rId7" display="http://vsolj.cetus-net.org/no48.pdf"/>
    <hyperlink ref="P15" r:id="rId8" display="http://www.aavso.org/sites/default/files/jaavso/v37n1/44.pdf"/>
    <hyperlink ref="P16" r:id="rId9" display="http://www.konkoly.hu/cgi-bin/IBVS?5871"/>
    <hyperlink ref="P17" r:id="rId10" display="http://www.aavso.org/sites/default/files/jaavso/v37n1/44.pdf"/>
    <hyperlink ref="P54" r:id="rId11" display="http://vsolj.cetus-net.org/vsoljno53.pdf"/>
    <hyperlink ref="P19" r:id="rId12" display="http://www.konkoly.hu/cgi-bin/IBVS?5992"/>
    <hyperlink ref="P20" r:id="rId13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2023-01-16T05:44:36Z</dcterms:modified>
</cp:coreProperties>
</file>