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D724CF3-A6FE-4E18-8FD3-C82219B24311}" xr6:coauthVersionLast="47" xr6:coauthVersionMax="47" xr10:uidLastSave="{00000000-0000-0000-0000-000000000000}"/>
  <bookViews>
    <workbookView xWindow="13770" yWindow="58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J36" i="1" s="1"/>
  <c r="Q36" i="1"/>
  <c r="E37" i="1"/>
  <c r="F37" i="1"/>
  <c r="G37" i="1" s="1"/>
  <c r="J37" i="1" s="1"/>
  <c r="Q37" i="1"/>
  <c r="C21" i="1"/>
  <c r="E21" i="1"/>
  <c r="F21" i="1"/>
  <c r="Q26" i="1"/>
  <c r="Q27" i="1"/>
  <c r="Q30" i="1"/>
  <c r="Q31" i="1"/>
  <c r="Q32" i="1"/>
  <c r="G19" i="2"/>
  <c r="C19" i="2"/>
  <c r="G18" i="2"/>
  <c r="C18" i="2"/>
  <c r="G17" i="2"/>
  <c r="C17" i="2"/>
  <c r="G24" i="2"/>
  <c r="C24" i="2"/>
  <c r="G23" i="2"/>
  <c r="C23" i="2"/>
  <c r="G22" i="2"/>
  <c r="C22" i="2"/>
  <c r="G16" i="2"/>
  <c r="C16" i="2"/>
  <c r="G15" i="2"/>
  <c r="C15" i="2"/>
  <c r="G21" i="2"/>
  <c r="C21" i="2"/>
  <c r="G20" i="2"/>
  <c r="C20" i="2"/>
  <c r="E20" i="2"/>
  <c r="G14" i="2"/>
  <c r="C14" i="2"/>
  <c r="G13" i="2"/>
  <c r="C13" i="2"/>
  <c r="G12" i="2"/>
  <c r="C12" i="2"/>
  <c r="G11" i="2"/>
  <c r="C11" i="2"/>
  <c r="H19" i="2"/>
  <c r="D19" i="2"/>
  <c r="B19" i="2"/>
  <c r="A19" i="2"/>
  <c r="H18" i="2"/>
  <c r="D18" i="2"/>
  <c r="B18" i="2"/>
  <c r="A18" i="2"/>
  <c r="H17" i="2"/>
  <c r="D17" i="2"/>
  <c r="B17" i="2"/>
  <c r="A17" i="2"/>
  <c r="H24" i="2"/>
  <c r="D24" i="2"/>
  <c r="B24" i="2"/>
  <c r="A24" i="2"/>
  <c r="H23" i="2"/>
  <c r="D23" i="2"/>
  <c r="B23" i="2"/>
  <c r="A23" i="2"/>
  <c r="H22" i="2"/>
  <c r="D22" i="2"/>
  <c r="B22" i="2"/>
  <c r="A22" i="2"/>
  <c r="H16" i="2"/>
  <c r="D16" i="2"/>
  <c r="B16" i="2"/>
  <c r="A16" i="2"/>
  <c r="H15" i="2"/>
  <c r="D15" i="2"/>
  <c r="B15" i="2"/>
  <c r="A15" i="2"/>
  <c r="H21" i="2"/>
  <c r="D21" i="2"/>
  <c r="B21" i="2"/>
  <c r="A21" i="2"/>
  <c r="H20" i="2"/>
  <c r="D20" i="2"/>
  <c r="B20" i="2"/>
  <c r="A20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F11" i="1"/>
  <c r="Q28" i="1"/>
  <c r="Q34" i="1"/>
  <c r="Q35" i="1"/>
  <c r="Q33" i="1"/>
  <c r="Q29" i="1"/>
  <c r="G11" i="1"/>
  <c r="E14" i="1"/>
  <c r="C17" i="1"/>
  <c r="C8" i="1"/>
  <c r="Q24" i="1"/>
  <c r="Q25" i="1"/>
  <c r="Q22" i="1"/>
  <c r="Q23" i="1"/>
  <c r="C7" i="1"/>
  <c r="E26" i="1"/>
  <c r="F26" i="1"/>
  <c r="Q21" i="1"/>
  <c r="E21" i="2"/>
  <c r="E18" i="2"/>
  <c r="E16" i="2"/>
  <c r="E22" i="2"/>
  <c r="E23" i="1"/>
  <c r="F23" i="1"/>
  <c r="E30" i="1"/>
  <c r="F30" i="1"/>
  <c r="G30" i="1"/>
  <c r="J30" i="1"/>
  <c r="E33" i="1"/>
  <c r="F33" i="1"/>
  <c r="G33" i="1"/>
  <c r="I33" i="1"/>
  <c r="E25" i="1"/>
  <c r="F25" i="1"/>
  <c r="G25" i="1"/>
  <c r="I25" i="1"/>
  <c r="E32" i="1"/>
  <c r="F32" i="1"/>
  <c r="G32" i="1"/>
  <c r="J32" i="1"/>
  <c r="E35" i="1"/>
  <c r="F35" i="1"/>
  <c r="G35" i="1"/>
  <c r="I35" i="1"/>
  <c r="E22" i="1"/>
  <c r="F22" i="1"/>
  <c r="G22" i="1"/>
  <c r="I22" i="1"/>
  <c r="E27" i="1"/>
  <c r="F27" i="1"/>
  <c r="G27" i="1"/>
  <c r="J27" i="1"/>
  <c r="G34" i="1"/>
  <c r="I34" i="1"/>
  <c r="E29" i="1"/>
  <c r="F29" i="1"/>
  <c r="G29" i="1"/>
  <c r="I29" i="1"/>
  <c r="G21" i="1"/>
  <c r="E24" i="1"/>
  <c r="F24" i="1"/>
  <c r="G24" i="1"/>
  <c r="I24" i="1"/>
  <c r="E31" i="1"/>
  <c r="F31" i="1"/>
  <c r="G31" i="1"/>
  <c r="J31" i="1"/>
  <c r="G26" i="1"/>
  <c r="J26" i="1"/>
  <c r="E34" i="1"/>
  <c r="F34" i="1"/>
  <c r="G23" i="1"/>
  <c r="I23" i="1"/>
  <c r="E28" i="1"/>
  <c r="F28" i="1"/>
  <c r="G28" i="1"/>
  <c r="I28" i="1"/>
  <c r="E15" i="2"/>
  <c r="H21" i="1"/>
  <c r="E17" i="2"/>
  <c r="E12" i="2"/>
  <c r="E23" i="2"/>
  <c r="E11" i="2"/>
  <c r="E19" i="2"/>
  <c r="E13" i="2"/>
  <c r="E24" i="2"/>
  <c r="E14" i="2"/>
  <c r="C12" i="1"/>
  <c r="C16" i="1" l="1"/>
  <c r="D18" i="1" s="1"/>
  <c r="E15" i="1"/>
  <c r="C11" i="1"/>
  <c r="O37" i="1" l="1"/>
  <c r="O36" i="1"/>
  <c r="O26" i="1"/>
  <c r="O33" i="1"/>
  <c r="O22" i="1"/>
  <c r="O35" i="1"/>
  <c r="O32" i="1"/>
  <c r="O28" i="1"/>
  <c r="O25" i="1"/>
  <c r="O21" i="1"/>
  <c r="O24" i="1"/>
  <c r="O30" i="1"/>
  <c r="O29" i="1"/>
  <c r="C15" i="1"/>
  <c r="O31" i="1"/>
  <c r="O34" i="1"/>
  <c r="O23" i="1"/>
  <c r="O27" i="1"/>
  <c r="C18" i="1" l="1"/>
  <c r="E16" i="1"/>
  <c r="E17" i="1" s="1"/>
</calcChain>
</file>

<file path=xl/sharedStrings.xml><?xml version="1.0" encoding="utf-8"?>
<sst xmlns="http://schemas.openxmlformats.org/spreadsheetml/2006/main" count="214" uniqueCount="134">
  <si>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</si>
  <si>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</si>
  <si>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</si>
  <si>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</si>
  <si>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</si>
  <si>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</si>
  <si>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</si>
  <si>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</si>
  <si>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</si>
  <si>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</si>
  <si>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</si>
  <si>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</si>
  <si>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</si>
  <si>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</si>
  <si>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</si>
  <si>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</si>
  <si>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</si>
  <si>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</si>
  <si>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</si>
  <si>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</si>
  <si>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</si>
  <si>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</si>
  <si>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</si>
  <si>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</si>
  <si>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</si>
  <si>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</si>
  <si>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</si>
  <si>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</si>
  <si>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</si>
  <si>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</si>
  <si>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EA/SD:</t>
  </si>
  <si>
    <t>IBVS 4888</t>
  </si>
  <si>
    <t>IBVS 5263</t>
  </si>
  <si>
    <t>I</t>
  </si>
  <si>
    <t># of data points:</t>
  </si>
  <si>
    <t>IBVS 5731</t>
  </si>
  <si>
    <t>EX Lac / na</t>
  </si>
  <si>
    <t>CSV 5592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</si>
  <si>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</si>
  <si>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</si>
  <si>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</si>
  <si>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</si>
  <si>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</si>
  <si>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</si>
  <si>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</si>
  <si>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</si>
  <si>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</si>
  <si>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6010</t>
  </si>
  <si>
    <t>II</t>
  </si>
  <si>
    <t>IBVS 6070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</si>
  <si>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</si>
  <si>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</si>
  <si>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</si>
  <si>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</si>
  <si>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</si>
  <si>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</si>
  <si>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</si>
  <si>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</si>
  <si>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</si>
  <si>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</si>
  <si>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</si>
  <si>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</si>
  <si>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</si>
  <si>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2451043.3925 </t>
  </si>
  <si>
    <t> 17.08.1998 21:25 </t>
  </si>
  <si>
    <t> 0.1918 </t>
  </si>
  <si>
    <t>E </t>
  </si>
  <si>
    <t>?</t>
  </si>
  <si>
    <t> J.Safar </t>
  </si>
  <si>
    <t>IBVS 4888 </t>
  </si>
  <si>
    <t>2451363.4276 </t>
  </si>
  <si>
    <t> 03.07.1999 22:15 </t>
  </si>
  <si>
    <t> 0.1970 </t>
  </si>
  <si>
    <t>IBVS 5263 </t>
  </si>
  <si>
    <t>2453657.5715 </t>
  </si>
  <si>
    <t> 14.10.2005 01:42 </t>
  </si>
  <si>
    <t> 0.2135 </t>
  </si>
  <si>
    <t>-I</t>
  </si>
  <si>
    <t> F.Agerer </t>
  </si>
  <si>
    <t>BAVM 178 </t>
  </si>
  <si>
    <t>2453657.5727 </t>
  </si>
  <si>
    <t> 14.10.2005 01:44 </t>
  </si>
  <si>
    <t>16594</t>
  </si>
  <si>
    <t> 0.2147 </t>
  </si>
  <si>
    <t>C </t>
  </si>
  <si>
    <t>2454712.4638 </t>
  </si>
  <si>
    <t> 02.09.2008 23:07 </t>
  </si>
  <si>
    <t>17200.5</t>
  </si>
  <si>
    <t> 0.2246 </t>
  </si>
  <si>
    <t>BAVM 203 </t>
  </si>
  <si>
    <t>2455039.4548 </t>
  </si>
  <si>
    <t> 26.07.2009 22:54 </t>
  </si>
  <si>
    <t>17388.5</t>
  </si>
  <si>
    <t> 0.2285 </t>
  </si>
  <si>
    <t>BAVM 212 </t>
  </si>
  <si>
    <t>2455480.3653 </t>
  </si>
  <si>
    <t> 10.10.2010 20:46 </t>
  </si>
  <si>
    <t>17642</t>
  </si>
  <si>
    <t> 0.2282 </t>
  </si>
  <si>
    <t>BAVM 215 </t>
  </si>
  <si>
    <t>2455759.5208 </t>
  </si>
  <si>
    <t> 17.07.2011 00:29 </t>
  </si>
  <si>
    <t>17802.5</t>
  </si>
  <si>
    <t> 0.2272 </t>
  </si>
  <si>
    <t>BAVM 220 </t>
  </si>
  <si>
    <t>2455806.4877 </t>
  </si>
  <si>
    <t> 01.09.2011 23:42 </t>
  </si>
  <si>
    <t>17829.5</t>
  </si>
  <si>
    <t> 0.2332 </t>
  </si>
  <si>
    <t>BAVM 225 </t>
  </si>
  <si>
    <t>2455873.4508 </t>
  </si>
  <si>
    <t> 07.11.2011 22:49 </t>
  </si>
  <si>
    <t>17868</t>
  </si>
  <si>
    <t> 0.2335 </t>
  </si>
  <si>
    <t>2455887.3634 </t>
  </si>
  <si>
    <t> 21.11.2011 20:43 </t>
  </si>
  <si>
    <t>17876</t>
  </si>
  <si>
    <t> 0.2317 </t>
  </si>
  <si>
    <t>2456133.4801 </t>
  </si>
  <si>
    <t> 24.07.2012 23:31 </t>
  </si>
  <si>
    <t>18017.5</t>
  </si>
  <si>
    <t> 0.2385 </t>
  </si>
  <si>
    <t>BAVM 231 </t>
  </si>
  <si>
    <t>2456541.3429 </t>
  </si>
  <si>
    <t> 05.09.2013 20:13 </t>
  </si>
  <si>
    <t>18252</t>
  </si>
  <si>
    <t> 0.2371 </t>
  </si>
  <si>
    <t>BAVM 234 </t>
  </si>
  <si>
    <t>2456600.4782 </t>
  </si>
  <si>
    <t> 03.11.2013 23:28 </t>
  </si>
  <si>
    <t>18286</t>
  </si>
  <si>
    <t> 0.2364 </t>
  </si>
  <si>
    <t>JBAV, 60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</si>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</sst>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6" fontId="21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Lac - O-C Diagr.</a:t>
            </a:r>
          </a:p>
        </c:rich>
      </c:tx>
      <c:layout>
        <c:manualLayout>
          <c:xMode val="edge"/>
          <c:yMode val="edge"/>
          <c:x val="0.379644927259698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723926380368099"/>
          <c:w val="0.8158326306232256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15091</c:v>
                </c:pt>
                <c:pt idx="2">
                  <c:v>15275</c:v>
                </c:pt>
                <c:pt idx="3">
                  <c:v>16594</c:v>
                </c:pt>
                <c:pt idx="4">
                  <c:v>16594</c:v>
                </c:pt>
                <c:pt idx="5">
                  <c:v>17200.5</c:v>
                </c:pt>
                <c:pt idx="6">
                  <c:v>17388.5</c:v>
                </c:pt>
                <c:pt idx="7">
                  <c:v>17642</c:v>
                </c:pt>
                <c:pt idx="8">
                  <c:v>17802.5</c:v>
                </c:pt>
                <c:pt idx="9">
                  <c:v>17829.5</c:v>
                </c:pt>
                <c:pt idx="10">
                  <c:v>17868</c:v>
                </c:pt>
                <c:pt idx="11">
                  <c:v>17876</c:v>
                </c:pt>
                <c:pt idx="12">
                  <c:v>18017.5</c:v>
                </c:pt>
                <c:pt idx="13">
                  <c:v>18252</c:v>
                </c:pt>
                <c:pt idx="14">
                  <c:v>18286</c:v>
                </c:pt>
                <c:pt idx="15">
                  <c:v>19955</c:v>
                </c:pt>
                <c:pt idx="16">
                  <c:v>19970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08-48D4-966F-6AA708743E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15091</c:v>
                </c:pt>
                <c:pt idx="2">
                  <c:v>15275</c:v>
                </c:pt>
                <c:pt idx="3">
                  <c:v>16594</c:v>
                </c:pt>
                <c:pt idx="4">
                  <c:v>16594</c:v>
                </c:pt>
                <c:pt idx="5">
                  <c:v>17200.5</c:v>
                </c:pt>
                <c:pt idx="6">
                  <c:v>17388.5</c:v>
                </c:pt>
                <c:pt idx="7">
                  <c:v>17642</c:v>
                </c:pt>
                <c:pt idx="8">
                  <c:v>17802.5</c:v>
                </c:pt>
                <c:pt idx="9">
                  <c:v>17829.5</c:v>
                </c:pt>
                <c:pt idx="10">
                  <c:v>17868</c:v>
                </c:pt>
                <c:pt idx="11">
                  <c:v>17876</c:v>
                </c:pt>
                <c:pt idx="12">
                  <c:v>18017.5</c:v>
                </c:pt>
                <c:pt idx="13">
                  <c:v>18252</c:v>
                </c:pt>
                <c:pt idx="14">
                  <c:v>18286</c:v>
                </c:pt>
                <c:pt idx="15">
                  <c:v>19955</c:v>
                </c:pt>
                <c:pt idx="16">
                  <c:v>19970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0.19183700000576209</c:v>
                </c:pt>
                <c:pt idx="2">
                  <c:v>0.19702500000857981</c:v>
                </c:pt>
                <c:pt idx="3">
                  <c:v>0.21345799999835435</c:v>
                </c:pt>
                <c:pt idx="4">
                  <c:v>0.21465799999714363</c:v>
                </c:pt>
                <c:pt idx="7">
                  <c:v>0.22819400000298629</c:v>
                </c:pt>
                <c:pt idx="8">
                  <c:v>0.22716750000108732</c:v>
                </c:pt>
                <c:pt idx="12">
                  <c:v>0.23847250000108033</c:v>
                </c:pt>
                <c:pt idx="13">
                  <c:v>0.23706400000082795</c:v>
                </c:pt>
                <c:pt idx="14">
                  <c:v>0.236401999994996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08-48D4-966F-6AA708743E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15091</c:v>
                </c:pt>
                <c:pt idx="2">
                  <c:v>15275</c:v>
                </c:pt>
                <c:pt idx="3">
                  <c:v>16594</c:v>
                </c:pt>
                <c:pt idx="4">
                  <c:v>16594</c:v>
                </c:pt>
                <c:pt idx="5">
                  <c:v>17200.5</c:v>
                </c:pt>
                <c:pt idx="6">
                  <c:v>17388.5</c:v>
                </c:pt>
                <c:pt idx="7">
                  <c:v>17642</c:v>
                </c:pt>
                <c:pt idx="8">
                  <c:v>17802.5</c:v>
                </c:pt>
                <c:pt idx="9">
                  <c:v>17829.5</c:v>
                </c:pt>
                <c:pt idx="10">
                  <c:v>17868</c:v>
                </c:pt>
                <c:pt idx="11">
                  <c:v>17876</c:v>
                </c:pt>
                <c:pt idx="12">
                  <c:v>18017.5</c:v>
                </c:pt>
                <c:pt idx="13">
                  <c:v>18252</c:v>
                </c:pt>
                <c:pt idx="14">
                  <c:v>18286</c:v>
                </c:pt>
                <c:pt idx="15">
                  <c:v>19955</c:v>
                </c:pt>
                <c:pt idx="16">
                  <c:v>19970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0.22455349999654572</c:v>
                </c:pt>
                <c:pt idx="6">
                  <c:v>0.22846950000530342</c:v>
                </c:pt>
                <c:pt idx="9">
                  <c:v>0.23315649999858579</c:v>
                </c:pt>
                <c:pt idx="10">
                  <c:v>0.23347600000124658</c:v>
                </c:pt>
                <c:pt idx="11">
                  <c:v>0.23173200000019278</c:v>
                </c:pt>
                <c:pt idx="15">
                  <c:v>0.26208500000211643</c:v>
                </c:pt>
                <c:pt idx="16">
                  <c:v>0.2600899999961257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08-48D4-966F-6AA708743E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15091</c:v>
                </c:pt>
                <c:pt idx="2">
                  <c:v>15275</c:v>
                </c:pt>
                <c:pt idx="3">
                  <c:v>16594</c:v>
                </c:pt>
                <c:pt idx="4">
                  <c:v>16594</c:v>
                </c:pt>
                <c:pt idx="5">
                  <c:v>17200.5</c:v>
                </c:pt>
                <c:pt idx="6">
                  <c:v>17388.5</c:v>
                </c:pt>
                <c:pt idx="7">
                  <c:v>17642</c:v>
                </c:pt>
                <c:pt idx="8">
                  <c:v>17802.5</c:v>
                </c:pt>
                <c:pt idx="9">
                  <c:v>17829.5</c:v>
                </c:pt>
                <c:pt idx="10">
                  <c:v>17868</c:v>
                </c:pt>
                <c:pt idx="11">
                  <c:v>17876</c:v>
                </c:pt>
                <c:pt idx="12">
                  <c:v>18017.5</c:v>
                </c:pt>
                <c:pt idx="13">
                  <c:v>18252</c:v>
                </c:pt>
                <c:pt idx="14">
                  <c:v>18286</c:v>
                </c:pt>
                <c:pt idx="15">
                  <c:v>19955</c:v>
                </c:pt>
                <c:pt idx="16">
                  <c:v>19970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08-48D4-966F-6AA708743E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15091</c:v>
                </c:pt>
                <c:pt idx="2">
                  <c:v>15275</c:v>
                </c:pt>
                <c:pt idx="3">
                  <c:v>16594</c:v>
                </c:pt>
                <c:pt idx="4">
                  <c:v>16594</c:v>
                </c:pt>
                <c:pt idx="5">
                  <c:v>17200.5</c:v>
                </c:pt>
                <c:pt idx="6">
                  <c:v>17388.5</c:v>
                </c:pt>
                <c:pt idx="7">
                  <c:v>17642</c:v>
                </c:pt>
                <c:pt idx="8">
                  <c:v>17802.5</c:v>
                </c:pt>
                <c:pt idx="9">
                  <c:v>17829.5</c:v>
                </c:pt>
                <c:pt idx="10">
                  <c:v>17868</c:v>
                </c:pt>
                <c:pt idx="11">
                  <c:v>17876</c:v>
                </c:pt>
                <c:pt idx="12">
                  <c:v>18017.5</c:v>
                </c:pt>
                <c:pt idx="13">
                  <c:v>18252</c:v>
                </c:pt>
                <c:pt idx="14">
                  <c:v>18286</c:v>
                </c:pt>
                <c:pt idx="15">
                  <c:v>19955</c:v>
                </c:pt>
                <c:pt idx="16">
                  <c:v>19970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08-48D4-966F-6AA708743E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15091</c:v>
                </c:pt>
                <c:pt idx="2">
                  <c:v>15275</c:v>
                </c:pt>
                <c:pt idx="3">
                  <c:v>16594</c:v>
                </c:pt>
                <c:pt idx="4">
                  <c:v>16594</c:v>
                </c:pt>
                <c:pt idx="5">
                  <c:v>17200.5</c:v>
                </c:pt>
                <c:pt idx="6">
                  <c:v>17388.5</c:v>
                </c:pt>
                <c:pt idx="7">
                  <c:v>17642</c:v>
                </c:pt>
                <c:pt idx="8">
                  <c:v>17802.5</c:v>
                </c:pt>
                <c:pt idx="9">
                  <c:v>17829.5</c:v>
                </c:pt>
                <c:pt idx="10">
                  <c:v>17868</c:v>
                </c:pt>
                <c:pt idx="11">
                  <c:v>17876</c:v>
                </c:pt>
                <c:pt idx="12">
                  <c:v>18017.5</c:v>
                </c:pt>
                <c:pt idx="13">
                  <c:v>18252</c:v>
                </c:pt>
                <c:pt idx="14">
                  <c:v>18286</c:v>
                </c:pt>
                <c:pt idx="15">
                  <c:v>19955</c:v>
                </c:pt>
                <c:pt idx="16">
                  <c:v>19970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08-48D4-966F-6AA708743E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15091</c:v>
                </c:pt>
                <c:pt idx="2">
                  <c:v>15275</c:v>
                </c:pt>
                <c:pt idx="3">
                  <c:v>16594</c:v>
                </c:pt>
                <c:pt idx="4">
                  <c:v>16594</c:v>
                </c:pt>
                <c:pt idx="5">
                  <c:v>17200.5</c:v>
                </c:pt>
                <c:pt idx="6">
                  <c:v>17388.5</c:v>
                </c:pt>
                <c:pt idx="7">
                  <c:v>17642</c:v>
                </c:pt>
                <c:pt idx="8">
                  <c:v>17802.5</c:v>
                </c:pt>
                <c:pt idx="9">
                  <c:v>17829.5</c:v>
                </c:pt>
                <c:pt idx="10">
                  <c:v>17868</c:v>
                </c:pt>
                <c:pt idx="11">
                  <c:v>17876</c:v>
                </c:pt>
                <c:pt idx="12">
                  <c:v>18017.5</c:v>
                </c:pt>
                <c:pt idx="13">
                  <c:v>18252</c:v>
                </c:pt>
                <c:pt idx="14">
                  <c:v>18286</c:v>
                </c:pt>
                <c:pt idx="15">
                  <c:v>19955</c:v>
                </c:pt>
                <c:pt idx="16">
                  <c:v>19970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08-48D4-966F-6AA708743E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15091</c:v>
                </c:pt>
                <c:pt idx="2">
                  <c:v>15275</c:v>
                </c:pt>
                <c:pt idx="3">
                  <c:v>16594</c:v>
                </c:pt>
                <c:pt idx="4">
                  <c:v>16594</c:v>
                </c:pt>
                <c:pt idx="5">
                  <c:v>17200.5</c:v>
                </c:pt>
                <c:pt idx="6">
                  <c:v>17388.5</c:v>
                </c:pt>
                <c:pt idx="7">
                  <c:v>17642</c:v>
                </c:pt>
                <c:pt idx="8">
                  <c:v>17802.5</c:v>
                </c:pt>
                <c:pt idx="9">
                  <c:v>17829.5</c:v>
                </c:pt>
                <c:pt idx="10">
                  <c:v>17868</c:v>
                </c:pt>
                <c:pt idx="11">
                  <c:v>17876</c:v>
                </c:pt>
                <c:pt idx="12">
                  <c:v>18017.5</c:v>
                </c:pt>
                <c:pt idx="13">
                  <c:v>18252</c:v>
                </c:pt>
                <c:pt idx="14">
                  <c:v>18286</c:v>
                </c:pt>
                <c:pt idx="15">
                  <c:v>19955</c:v>
                </c:pt>
                <c:pt idx="16">
                  <c:v>19970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-1.3023881186100539E-3</c:v>
                </c:pt>
                <c:pt idx="1">
                  <c:v>0.19587947162269251</c:v>
                </c:pt>
                <c:pt idx="2">
                  <c:v>0.19828365041749735</c:v>
                </c:pt>
                <c:pt idx="3">
                  <c:v>0.21551795384329933</c:v>
                </c:pt>
                <c:pt idx="4">
                  <c:v>0.21551795384329933</c:v>
                </c:pt>
                <c:pt idx="5">
                  <c:v>0.22344259753378373</c:v>
                </c:pt>
                <c:pt idx="6">
                  <c:v>0.22589904108499737</c:v>
                </c:pt>
                <c:pt idx="7">
                  <c:v>0.2292113200224051</c:v>
                </c:pt>
                <c:pt idx="8">
                  <c:v>0.23130844337330822</c:v>
                </c:pt>
                <c:pt idx="9">
                  <c:v>0.23166123047906764</c:v>
                </c:pt>
                <c:pt idx="10">
                  <c:v>0.23216427875950235</c:v>
                </c:pt>
                <c:pt idx="11">
                  <c:v>0.23226880827231994</c:v>
                </c:pt>
                <c:pt idx="12">
                  <c:v>0.23411767403028128</c:v>
                </c:pt>
                <c:pt idx="13">
                  <c:v>0.2371816953747472</c:v>
                </c:pt>
                <c:pt idx="14">
                  <c:v>0.237625945804222</c:v>
                </c:pt>
                <c:pt idx="15">
                  <c:v>0.25943341541579407</c:v>
                </c:pt>
                <c:pt idx="16">
                  <c:v>0.25962940825232705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08-48D4-966F-6AA70874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40488"/>
        <c:axId val="1"/>
      </c:scatterChart>
      <c:valAx>
        <c:axId val="40954048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40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9371647607054"/>
          <c:y val="0.92024539877300615"/>
          <c:w val="0.723748489435589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Lac - O-C Diagr.</a:t>
            </a:r>
          </a:p>
        </c:rich>
      </c:tx>
      <c:layout>
        <c:manualLayout>
          <c:xMode val="edge"/>
          <c:yMode val="edge"/>
          <c:x val="0.3790322580645161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15091</c:v>
                </c:pt>
                <c:pt idx="2">
                  <c:v>15275</c:v>
                </c:pt>
                <c:pt idx="3">
                  <c:v>16594</c:v>
                </c:pt>
                <c:pt idx="4">
                  <c:v>16594</c:v>
                </c:pt>
                <c:pt idx="5">
                  <c:v>17200.5</c:v>
                </c:pt>
                <c:pt idx="6">
                  <c:v>17388.5</c:v>
                </c:pt>
                <c:pt idx="7">
                  <c:v>17642</c:v>
                </c:pt>
                <c:pt idx="8">
                  <c:v>17802.5</c:v>
                </c:pt>
                <c:pt idx="9">
                  <c:v>17829.5</c:v>
                </c:pt>
                <c:pt idx="10">
                  <c:v>17868</c:v>
                </c:pt>
                <c:pt idx="11">
                  <c:v>17876</c:v>
                </c:pt>
                <c:pt idx="12">
                  <c:v>18017.5</c:v>
                </c:pt>
                <c:pt idx="13">
                  <c:v>18252</c:v>
                </c:pt>
                <c:pt idx="14">
                  <c:v>18286</c:v>
                </c:pt>
                <c:pt idx="15">
                  <c:v>19955</c:v>
                </c:pt>
                <c:pt idx="16">
                  <c:v>19970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81-405F-92A5-BDE15A3B51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15091</c:v>
                </c:pt>
                <c:pt idx="2">
                  <c:v>15275</c:v>
                </c:pt>
                <c:pt idx="3">
                  <c:v>16594</c:v>
                </c:pt>
                <c:pt idx="4">
                  <c:v>16594</c:v>
                </c:pt>
                <c:pt idx="5">
                  <c:v>17200.5</c:v>
                </c:pt>
                <c:pt idx="6">
                  <c:v>17388.5</c:v>
                </c:pt>
                <c:pt idx="7">
                  <c:v>17642</c:v>
                </c:pt>
                <c:pt idx="8">
                  <c:v>17802.5</c:v>
                </c:pt>
                <c:pt idx="9">
                  <c:v>17829.5</c:v>
                </c:pt>
                <c:pt idx="10">
                  <c:v>17868</c:v>
                </c:pt>
                <c:pt idx="11">
                  <c:v>17876</c:v>
                </c:pt>
                <c:pt idx="12">
                  <c:v>18017.5</c:v>
                </c:pt>
                <c:pt idx="13">
                  <c:v>18252</c:v>
                </c:pt>
                <c:pt idx="14">
                  <c:v>18286</c:v>
                </c:pt>
                <c:pt idx="15">
                  <c:v>19955</c:v>
                </c:pt>
                <c:pt idx="16">
                  <c:v>19970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0.19183700000576209</c:v>
                </c:pt>
                <c:pt idx="2">
                  <c:v>0.19702500000857981</c:v>
                </c:pt>
                <c:pt idx="3">
                  <c:v>0.21345799999835435</c:v>
                </c:pt>
                <c:pt idx="4">
                  <c:v>0.21465799999714363</c:v>
                </c:pt>
                <c:pt idx="7">
                  <c:v>0.22819400000298629</c:v>
                </c:pt>
                <c:pt idx="8">
                  <c:v>0.22716750000108732</c:v>
                </c:pt>
                <c:pt idx="12">
                  <c:v>0.23847250000108033</c:v>
                </c:pt>
                <c:pt idx="13">
                  <c:v>0.23706400000082795</c:v>
                </c:pt>
                <c:pt idx="14">
                  <c:v>0.236401999994996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81-405F-92A5-BDE15A3B51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15091</c:v>
                </c:pt>
                <c:pt idx="2">
                  <c:v>15275</c:v>
                </c:pt>
                <c:pt idx="3">
                  <c:v>16594</c:v>
                </c:pt>
                <c:pt idx="4">
                  <c:v>16594</c:v>
                </c:pt>
                <c:pt idx="5">
                  <c:v>17200.5</c:v>
                </c:pt>
                <c:pt idx="6">
                  <c:v>17388.5</c:v>
                </c:pt>
                <c:pt idx="7">
                  <c:v>17642</c:v>
                </c:pt>
                <c:pt idx="8">
                  <c:v>17802.5</c:v>
                </c:pt>
                <c:pt idx="9">
                  <c:v>17829.5</c:v>
                </c:pt>
                <c:pt idx="10">
                  <c:v>17868</c:v>
                </c:pt>
                <c:pt idx="11">
                  <c:v>17876</c:v>
                </c:pt>
                <c:pt idx="12">
                  <c:v>18017.5</c:v>
                </c:pt>
                <c:pt idx="13">
                  <c:v>18252</c:v>
                </c:pt>
                <c:pt idx="14">
                  <c:v>18286</c:v>
                </c:pt>
                <c:pt idx="15">
                  <c:v>19955</c:v>
                </c:pt>
                <c:pt idx="16">
                  <c:v>19970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0.22455349999654572</c:v>
                </c:pt>
                <c:pt idx="6">
                  <c:v>0.22846950000530342</c:v>
                </c:pt>
                <c:pt idx="9">
                  <c:v>0.23315649999858579</c:v>
                </c:pt>
                <c:pt idx="10">
                  <c:v>0.23347600000124658</c:v>
                </c:pt>
                <c:pt idx="11">
                  <c:v>0.23173200000019278</c:v>
                </c:pt>
                <c:pt idx="15">
                  <c:v>0.26208500000211643</c:v>
                </c:pt>
                <c:pt idx="16">
                  <c:v>0.2600899999961257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81-405F-92A5-BDE15A3B51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15091</c:v>
                </c:pt>
                <c:pt idx="2">
                  <c:v>15275</c:v>
                </c:pt>
                <c:pt idx="3">
                  <c:v>16594</c:v>
                </c:pt>
                <c:pt idx="4">
                  <c:v>16594</c:v>
                </c:pt>
                <c:pt idx="5">
                  <c:v>17200.5</c:v>
                </c:pt>
                <c:pt idx="6">
                  <c:v>17388.5</c:v>
                </c:pt>
                <c:pt idx="7">
                  <c:v>17642</c:v>
                </c:pt>
                <c:pt idx="8">
                  <c:v>17802.5</c:v>
                </c:pt>
                <c:pt idx="9">
                  <c:v>17829.5</c:v>
                </c:pt>
                <c:pt idx="10">
                  <c:v>17868</c:v>
                </c:pt>
                <c:pt idx="11">
                  <c:v>17876</c:v>
                </c:pt>
                <c:pt idx="12">
                  <c:v>18017.5</c:v>
                </c:pt>
                <c:pt idx="13">
                  <c:v>18252</c:v>
                </c:pt>
                <c:pt idx="14">
                  <c:v>18286</c:v>
                </c:pt>
                <c:pt idx="15">
                  <c:v>19955</c:v>
                </c:pt>
                <c:pt idx="16">
                  <c:v>19970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81-405F-92A5-BDE15A3B51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15091</c:v>
                </c:pt>
                <c:pt idx="2">
                  <c:v>15275</c:v>
                </c:pt>
                <c:pt idx="3">
                  <c:v>16594</c:v>
                </c:pt>
                <c:pt idx="4">
                  <c:v>16594</c:v>
                </c:pt>
                <c:pt idx="5">
                  <c:v>17200.5</c:v>
                </c:pt>
                <c:pt idx="6">
                  <c:v>17388.5</c:v>
                </c:pt>
                <c:pt idx="7">
                  <c:v>17642</c:v>
                </c:pt>
                <c:pt idx="8">
                  <c:v>17802.5</c:v>
                </c:pt>
                <c:pt idx="9">
                  <c:v>17829.5</c:v>
                </c:pt>
                <c:pt idx="10">
                  <c:v>17868</c:v>
                </c:pt>
                <c:pt idx="11">
                  <c:v>17876</c:v>
                </c:pt>
                <c:pt idx="12">
                  <c:v>18017.5</c:v>
                </c:pt>
                <c:pt idx="13">
                  <c:v>18252</c:v>
                </c:pt>
                <c:pt idx="14">
                  <c:v>18286</c:v>
                </c:pt>
                <c:pt idx="15">
                  <c:v>19955</c:v>
                </c:pt>
                <c:pt idx="16">
                  <c:v>19970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81-405F-92A5-BDE15A3B51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15091</c:v>
                </c:pt>
                <c:pt idx="2">
                  <c:v>15275</c:v>
                </c:pt>
                <c:pt idx="3">
                  <c:v>16594</c:v>
                </c:pt>
                <c:pt idx="4">
                  <c:v>16594</c:v>
                </c:pt>
                <c:pt idx="5">
                  <c:v>17200.5</c:v>
                </c:pt>
                <c:pt idx="6">
                  <c:v>17388.5</c:v>
                </c:pt>
                <c:pt idx="7">
                  <c:v>17642</c:v>
                </c:pt>
                <c:pt idx="8">
                  <c:v>17802.5</c:v>
                </c:pt>
                <c:pt idx="9">
                  <c:v>17829.5</c:v>
                </c:pt>
                <c:pt idx="10">
                  <c:v>17868</c:v>
                </c:pt>
                <c:pt idx="11">
                  <c:v>17876</c:v>
                </c:pt>
                <c:pt idx="12">
                  <c:v>18017.5</c:v>
                </c:pt>
                <c:pt idx="13">
                  <c:v>18252</c:v>
                </c:pt>
                <c:pt idx="14">
                  <c:v>18286</c:v>
                </c:pt>
                <c:pt idx="15">
                  <c:v>19955</c:v>
                </c:pt>
                <c:pt idx="16">
                  <c:v>19970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81-405F-92A5-BDE15A3B51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3.5000000000000001E-3</c:v>
                  </c:pt>
                  <c:pt idx="3">
                    <c:v>2.0999999999999999E-3</c:v>
                  </c:pt>
                  <c:pt idx="4">
                    <c:v>6.9999999999999999E-4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8.9999999999999993E-3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1.1299999999999999E-2</c:v>
                  </c:pt>
                  <c:pt idx="13">
                    <c:v>6.9999999999999999E-4</c:v>
                  </c:pt>
                  <c:pt idx="14">
                    <c:v>4.5999999999999999E-3</c:v>
                  </c:pt>
                  <c:pt idx="15">
                    <c:v>3.5000000000000001E-3</c:v>
                  </c:pt>
                  <c:pt idx="1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15091</c:v>
                </c:pt>
                <c:pt idx="2">
                  <c:v>15275</c:v>
                </c:pt>
                <c:pt idx="3">
                  <c:v>16594</c:v>
                </c:pt>
                <c:pt idx="4">
                  <c:v>16594</c:v>
                </c:pt>
                <c:pt idx="5">
                  <c:v>17200.5</c:v>
                </c:pt>
                <c:pt idx="6">
                  <c:v>17388.5</c:v>
                </c:pt>
                <c:pt idx="7">
                  <c:v>17642</c:v>
                </c:pt>
                <c:pt idx="8">
                  <c:v>17802.5</c:v>
                </c:pt>
                <c:pt idx="9">
                  <c:v>17829.5</c:v>
                </c:pt>
                <c:pt idx="10">
                  <c:v>17868</c:v>
                </c:pt>
                <c:pt idx="11">
                  <c:v>17876</c:v>
                </c:pt>
                <c:pt idx="12">
                  <c:v>18017.5</c:v>
                </c:pt>
                <c:pt idx="13">
                  <c:v>18252</c:v>
                </c:pt>
                <c:pt idx="14">
                  <c:v>18286</c:v>
                </c:pt>
                <c:pt idx="15">
                  <c:v>19955</c:v>
                </c:pt>
                <c:pt idx="16">
                  <c:v>19970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81-405F-92A5-BDE15A3B51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15091</c:v>
                </c:pt>
                <c:pt idx="2">
                  <c:v>15275</c:v>
                </c:pt>
                <c:pt idx="3">
                  <c:v>16594</c:v>
                </c:pt>
                <c:pt idx="4">
                  <c:v>16594</c:v>
                </c:pt>
                <c:pt idx="5">
                  <c:v>17200.5</c:v>
                </c:pt>
                <c:pt idx="6">
                  <c:v>17388.5</c:v>
                </c:pt>
                <c:pt idx="7">
                  <c:v>17642</c:v>
                </c:pt>
                <c:pt idx="8">
                  <c:v>17802.5</c:v>
                </c:pt>
                <c:pt idx="9">
                  <c:v>17829.5</c:v>
                </c:pt>
                <c:pt idx="10">
                  <c:v>17868</c:v>
                </c:pt>
                <c:pt idx="11">
                  <c:v>17876</c:v>
                </c:pt>
                <c:pt idx="12">
                  <c:v>18017.5</c:v>
                </c:pt>
                <c:pt idx="13">
                  <c:v>18252</c:v>
                </c:pt>
                <c:pt idx="14">
                  <c:v>18286</c:v>
                </c:pt>
                <c:pt idx="15">
                  <c:v>19955</c:v>
                </c:pt>
                <c:pt idx="16">
                  <c:v>19970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-1.3023881186100539E-3</c:v>
                </c:pt>
                <c:pt idx="1">
                  <c:v>0.19587947162269251</c:v>
                </c:pt>
                <c:pt idx="2">
                  <c:v>0.19828365041749735</c:v>
                </c:pt>
                <c:pt idx="3">
                  <c:v>0.21551795384329933</c:v>
                </c:pt>
                <c:pt idx="4">
                  <c:v>0.21551795384329933</c:v>
                </c:pt>
                <c:pt idx="5">
                  <c:v>0.22344259753378373</c:v>
                </c:pt>
                <c:pt idx="6">
                  <c:v>0.22589904108499737</c:v>
                </c:pt>
                <c:pt idx="7">
                  <c:v>0.2292113200224051</c:v>
                </c:pt>
                <c:pt idx="8">
                  <c:v>0.23130844337330822</c:v>
                </c:pt>
                <c:pt idx="9">
                  <c:v>0.23166123047906764</c:v>
                </c:pt>
                <c:pt idx="10">
                  <c:v>0.23216427875950235</c:v>
                </c:pt>
                <c:pt idx="11">
                  <c:v>0.23226880827231994</c:v>
                </c:pt>
                <c:pt idx="12">
                  <c:v>0.23411767403028128</c:v>
                </c:pt>
                <c:pt idx="13">
                  <c:v>0.2371816953747472</c:v>
                </c:pt>
                <c:pt idx="14">
                  <c:v>0.237625945804222</c:v>
                </c:pt>
                <c:pt idx="15">
                  <c:v>0.25943341541579407</c:v>
                </c:pt>
                <c:pt idx="16">
                  <c:v>0.25962940825232705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81-405F-92A5-BDE15A3B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40816"/>
        <c:axId val="1"/>
      </c:scatterChart>
      <c:valAx>
        <c:axId val="409540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40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48387096774194"/>
          <c:y val="0.9204921861831491"/>
          <c:w val="0.7225806451612901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9525</xdr:rowOff>
    </xdr:from>
    <xdr:to>
      <xdr:col>15</xdr:col>
      <xdr:colOff>352425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D1E8464-AFB6-4FFB-96C2-1BE4FBB60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23</xdr:col>
      <xdr:colOff>619125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044CFF9-A024-C4A0-DBBB-749286E13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13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215" TargetMode="External"/><Relationship Id="rId12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bav-astro.de/sfs/BAVM_link.php?BAVMnr=212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225" TargetMode="External"/><Relationship Id="rId14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  <c r="D1" t="s">
        <v>37</v>
      </c>
    </row>
    <row r="2" spans="1:7" x14ac:dyDescent="0.2">
      <c r="A2" t="s">
        <v>24</v>
      </c>
      <c r="B2" t="s">
        <v>30</v>
      </c>
    </row>
    <row r="3" spans="1:7" ht="13.5" thickBot="1" x14ac:dyDescent="0.25"/>
    <row r="4" spans="1:7" ht="14.25" thickTop="1" thickBot="1" x14ac:dyDescent="0.25">
      <c r="A4" s="7" t="s">
        <v>0</v>
      </c>
      <c r="C4" s="3">
        <v>24795.53</v>
      </c>
      <c r="D4" s="4">
        <v>1.739293</v>
      </c>
    </row>
    <row r="5" spans="1:7" ht="13.5" thickTop="1" x14ac:dyDescent="0.2"/>
    <row r="6" spans="1:7" x14ac:dyDescent="0.2">
      <c r="A6" s="7" t="s">
        <v>1</v>
      </c>
    </row>
    <row r="7" spans="1:7" x14ac:dyDescent="0.2">
      <c r="A7" t="s">
        <v>2</v>
      </c>
      <c r="C7">
        <f>+C4</f>
        <v>24795.53</v>
      </c>
    </row>
    <row r="8" spans="1:7" x14ac:dyDescent="0.2">
      <c r="A8" t="s">
        <v>3</v>
      </c>
      <c r="C8">
        <f>+D4</f>
        <v>1.739293</v>
      </c>
    </row>
    <row r="9" spans="1:7" x14ac:dyDescent="0.2">
      <c r="A9" s="17" t="s">
        <v>38</v>
      </c>
      <c r="B9" s="18"/>
      <c r="C9" s="19">
        <v>-9.5</v>
      </c>
      <c r="D9" s="18" t="s">
        <v>39</v>
      </c>
      <c r="E9" s="18"/>
    </row>
    <row r="10" spans="1:7" ht="13.5" thickBot="1" x14ac:dyDescent="0.25">
      <c r="A10" s="18"/>
      <c r="B10" s="18"/>
      <c r="C10" s="6" t="s">
        <v>20</v>
      </c>
      <c r="D10" s="6" t="s">
        <v>21</v>
      </c>
      <c r="E10" s="18"/>
    </row>
    <row r="11" spans="1:7" ht="11.25" customHeight="1" x14ac:dyDescent="0.2">
      <c r="A11" s="18" t="s">
        <v>16</v>
      </c>
      <c r="B11" s="18"/>
      <c r="C11" s="20">
        <f ca="1">INTERCEPT(INDIRECT($G$11):G992,INDIRECT($F$11):F992)</f>
        <v>-1.3023881186100539E-3</v>
      </c>
      <c r="D11" s="5"/>
      <c r="E11" s="18"/>
      <c r="F11" s="21" t="str">
        <f>"F"&amp;E19</f>
        <v>F21</v>
      </c>
      <c r="G11" s="22" t="str">
        <f>"G"&amp;E19</f>
        <v>G21</v>
      </c>
    </row>
    <row r="12" spans="1:7" x14ac:dyDescent="0.2">
      <c r="A12" s="18" t="s">
        <v>17</v>
      </c>
      <c r="B12" s="18"/>
      <c r="C12" s="20">
        <f ca="1">SLOPE(INDIRECT($G$11):G992,INDIRECT($F$11):F992)</f>
        <v>1.3066189102200156E-5</v>
      </c>
      <c r="D12" s="5"/>
      <c r="E12" s="18"/>
    </row>
    <row r="13" spans="1:7" x14ac:dyDescent="0.2">
      <c r="A13" s="18" t="s">
        <v>19</v>
      </c>
      <c r="B13" s="18"/>
      <c r="C13" s="5" t="s">
        <v>14</v>
      </c>
      <c r="D13" s="23" t="s">
        <v>40</v>
      </c>
      <c r="E13" s="19">
        <v>1</v>
      </c>
    </row>
    <row r="14" spans="1:7" x14ac:dyDescent="0.2">
      <c r="A14" s="18"/>
      <c r="B14" s="18"/>
      <c r="C14" s="18"/>
      <c r="D14" s="23" t="s">
        <v>41</v>
      </c>
      <c r="E14" s="24">
        <f ca="1">NOW()+15018.5+$C$9/24</f>
        <v>59960.840325231482</v>
      </c>
    </row>
    <row r="15" spans="1:7" x14ac:dyDescent="0.2">
      <c r="A15" s="25" t="s">
        <v>18</v>
      </c>
      <c r="B15" s="18"/>
      <c r="C15" s="26">
        <f ca="1">(C7+C11)+(C8+C12)*INT(MAX(F21:F3533))</f>
        <v>59529.470839408255</v>
      </c>
      <c r="D15" s="23" t="s">
        <v>42</v>
      </c>
      <c r="E15" s="24">
        <f ca="1">ROUND(2*(E14-$C$7)/$C$8,0)/2+E13</f>
        <v>20219</v>
      </c>
    </row>
    <row r="16" spans="1:7" x14ac:dyDescent="0.2">
      <c r="A16" s="27" t="s">
        <v>4</v>
      </c>
      <c r="B16" s="18"/>
      <c r="C16" s="28">
        <f ca="1">+C8+C12</f>
        <v>1.7393060661891022</v>
      </c>
      <c r="D16" s="23" t="s">
        <v>43</v>
      </c>
      <c r="E16" s="22">
        <f ca="1">ROUND(2*(E14-$C$15)/$C$16,0)/2+E13</f>
        <v>249</v>
      </c>
    </row>
    <row r="17" spans="1:17" ht="13.5" thickBot="1" x14ac:dyDescent="0.25">
      <c r="A17" s="23" t="s">
        <v>34</v>
      </c>
      <c r="B17" s="18"/>
      <c r="C17" s="18">
        <f>COUNT(C21:C2191)</f>
        <v>17</v>
      </c>
      <c r="D17" s="23" t="s">
        <v>44</v>
      </c>
      <c r="E17" s="29">
        <f ca="1">+$C$15+$C$16*E16-15018.5-$C$9/24</f>
        <v>44944.453883222675</v>
      </c>
    </row>
    <row r="18" spans="1:17" ht="14.25" thickTop="1" thickBot="1" x14ac:dyDescent="0.25">
      <c r="A18" s="27" t="s">
        <v>5</v>
      </c>
      <c r="B18" s="18"/>
      <c r="C18" s="30">
        <f ca="1">+C15</f>
        <v>59529.470839408255</v>
      </c>
      <c r="D18" s="31">
        <f ca="1">+C16</f>
        <v>1.7393060661891022</v>
      </c>
      <c r="E18" s="32" t="s">
        <v>45</v>
      </c>
    </row>
    <row r="19" spans="1:17" ht="13.5" thickTop="1" x14ac:dyDescent="0.2">
      <c r="A19" s="33" t="s">
        <v>46</v>
      </c>
      <c r="E19" s="34">
        <v>21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29</v>
      </c>
      <c r="J20" s="9" t="s">
        <v>133</v>
      </c>
      <c r="K20" s="9" t="s">
        <v>25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C21" s="36">
        <f>+C4</f>
        <v>24795.53</v>
      </c>
      <c r="D21" s="36" t="s">
        <v>14</v>
      </c>
      <c r="E21">
        <f t="shared" ref="E21:E35" si="0">+(C21-C$7)/C$8</f>
        <v>0</v>
      </c>
      <c r="F21">
        <f t="shared" ref="F21:F35" si="1">ROUND(2*E21,0)/2</f>
        <v>0</v>
      </c>
      <c r="G21">
        <f t="shared" ref="G21:G35" si="2">+C21-(C$7+F21*C$8)</f>
        <v>0</v>
      </c>
      <c r="H21">
        <f>+G21</f>
        <v>0</v>
      </c>
      <c r="O21">
        <f t="shared" ref="O21:O35" ca="1" si="3">+C$11+C$12*$F21</f>
        <v>-1.3023881186100539E-3</v>
      </c>
      <c r="Q21" s="2">
        <f t="shared" ref="Q21:Q35" si="4">+C21-15018.5</f>
        <v>9777.0299999999988</v>
      </c>
    </row>
    <row r="22" spans="1:17" x14ac:dyDescent="0.2">
      <c r="A22" s="10" t="s">
        <v>31</v>
      </c>
      <c r="B22" s="11"/>
      <c r="C22" s="10">
        <v>51043.392500000002</v>
      </c>
      <c r="D22" s="10">
        <v>1.8E-3</v>
      </c>
      <c r="E22">
        <f t="shared" si="0"/>
        <v>15091.110295965087</v>
      </c>
      <c r="F22">
        <f t="shared" si="1"/>
        <v>15091</v>
      </c>
      <c r="G22">
        <f t="shared" si="2"/>
        <v>0.19183700000576209</v>
      </c>
      <c r="I22">
        <f>+G22</f>
        <v>0.19183700000576209</v>
      </c>
      <c r="O22">
        <f t="shared" ca="1" si="3"/>
        <v>0.19587947162269251</v>
      </c>
      <c r="Q22" s="2">
        <f t="shared" si="4"/>
        <v>36024.892500000002</v>
      </c>
    </row>
    <row r="23" spans="1:17" x14ac:dyDescent="0.2">
      <c r="A23" s="12" t="s">
        <v>32</v>
      </c>
      <c r="B23" s="13" t="s">
        <v>33</v>
      </c>
      <c r="C23" s="37">
        <v>51363.427600000003</v>
      </c>
      <c r="D23" s="37">
        <v>3.5000000000000001E-3</v>
      </c>
      <c r="E23">
        <f t="shared" si="0"/>
        <v>15275.113278786268</v>
      </c>
      <c r="F23">
        <f t="shared" si="1"/>
        <v>15275</v>
      </c>
      <c r="G23">
        <f t="shared" si="2"/>
        <v>0.19702500000857981</v>
      </c>
      <c r="I23">
        <f>+G23</f>
        <v>0.19702500000857981</v>
      </c>
      <c r="O23">
        <f t="shared" ca="1" si="3"/>
        <v>0.19828365041749735</v>
      </c>
      <c r="Q23" s="2">
        <f t="shared" si="4"/>
        <v>36344.927600000003</v>
      </c>
    </row>
    <row r="24" spans="1:17" x14ac:dyDescent="0.2">
      <c r="A24" s="14" t="s">
        <v>35</v>
      </c>
      <c r="B24" s="15"/>
      <c r="C24" s="16">
        <v>53657.571499999998</v>
      </c>
      <c r="D24" s="16">
        <v>2.0999999999999999E-3</v>
      </c>
      <c r="E24">
        <f t="shared" si="0"/>
        <v>16594.122726878104</v>
      </c>
      <c r="F24">
        <f t="shared" si="1"/>
        <v>16594</v>
      </c>
      <c r="G24">
        <f t="shared" si="2"/>
        <v>0.21345799999835435</v>
      </c>
      <c r="I24">
        <f>+G24</f>
        <v>0.21345799999835435</v>
      </c>
      <c r="O24">
        <f t="shared" ca="1" si="3"/>
        <v>0.21551795384329933</v>
      </c>
      <c r="Q24" s="2">
        <f t="shared" si="4"/>
        <v>38639.071499999998</v>
      </c>
    </row>
    <row r="25" spans="1:17" x14ac:dyDescent="0.2">
      <c r="A25" s="14" t="s">
        <v>35</v>
      </c>
      <c r="B25" s="15"/>
      <c r="C25" s="16">
        <v>53657.572699999997</v>
      </c>
      <c r="D25" s="16">
        <v>6.9999999999999999E-4</v>
      </c>
      <c r="E25">
        <f t="shared" si="0"/>
        <v>16594.123416813614</v>
      </c>
      <c r="F25">
        <f t="shared" si="1"/>
        <v>16594</v>
      </c>
      <c r="G25">
        <f t="shared" si="2"/>
        <v>0.21465799999714363</v>
      </c>
      <c r="I25">
        <f>+G25</f>
        <v>0.21465799999714363</v>
      </c>
      <c r="O25">
        <f t="shared" ca="1" si="3"/>
        <v>0.21551795384329933</v>
      </c>
      <c r="Q25" s="2">
        <f t="shared" si="4"/>
        <v>38639.072699999997</v>
      </c>
    </row>
    <row r="26" spans="1:17" x14ac:dyDescent="0.2">
      <c r="A26" s="59" t="s">
        <v>89</v>
      </c>
      <c r="B26" s="60" t="s">
        <v>48</v>
      </c>
      <c r="C26" s="59">
        <v>54712.463799999998</v>
      </c>
      <c r="D26" s="60" t="s">
        <v>62</v>
      </c>
      <c r="E26">
        <f t="shared" si="0"/>
        <v>17200.629106194297</v>
      </c>
      <c r="F26">
        <f t="shared" si="1"/>
        <v>17200.5</v>
      </c>
      <c r="G26">
        <f t="shared" si="2"/>
        <v>0.22455349999654572</v>
      </c>
      <c r="J26">
        <f>+G26</f>
        <v>0.22455349999654572</v>
      </c>
      <c r="O26">
        <f t="shared" ca="1" si="3"/>
        <v>0.22344259753378373</v>
      </c>
      <c r="Q26" s="2">
        <f t="shared" si="4"/>
        <v>39693.963799999998</v>
      </c>
    </row>
    <row r="27" spans="1:17" x14ac:dyDescent="0.2">
      <c r="A27" s="59" t="s">
        <v>94</v>
      </c>
      <c r="B27" s="60" t="s">
        <v>48</v>
      </c>
      <c r="C27" s="59">
        <v>55039.4548</v>
      </c>
      <c r="D27" s="60" t="s">
        <v>62</v>
      </c>
      <c r="E27">
        <f t="shared" si="0"/>
        <v>17388.63135768384</v>
      </c>
      <c r="F27">
        <f t="shared" si="1"/>
        <v>17388.5</v>
      </c>
      <c r="G27">
        <f t="shared" si="2"/>
        <v>0.22846950000530342</v>
      </c>
      <c r="J27">
        <f>+G27</f>
        <v>0.22846950000530342</v>
      </c>
      <c r="O27">
        <f t="shared" ca="1" si="3"/>
        <v>0.22589904108499737</v>
      </c>
      <c r="Q27" s="2">
        <f t="shared" si="4"/>
        <v>40020.9548</v>
      </c>
    </row>
    <row r="28" spans="1:17" x14ac:dyDescent="0.2">
      <c r="A28" s="45" t="s">
        <v>51</v>
      </c>
      <c r="B28" s="45"/>
      <c r="C28" s="41">
        <v>55480.365299999998</v>
      </c>
      <c r="D28" s="41">
        <v>1.4E-3</v>
      </c>
      <c r="E28">
        <f t="shared" si="0"/>
        <v>17642.131199286145</v>
      </c>
      <c r="F28">
        <f t="shared" si="1"/>
        <v>17642</v>
      </c>
      <c r="G28">
        <f t="shared" si="2"/>
        <v>0.22819400000298629</v>
      </c>
      <c r="I28">
        <f>+G28</f>
        <v>0.22819400000298629</v>
      </c>
      <c r="O28">
        <f t="shared" ca="1" si="3"/>
        <v>0.2292113200224051</v>
      </c>
      <c r="Q28" s="2">
        <f t="shared" si="4"/>
        <v>40461.865299999998</v>
      </c>
    </row>
    <row r="29" spans="1:17" x14ac:dyDescent="0.2">
      <c r="A29" s="12" t="s">
        <v>47</v>
      </c>
      <c r="B29" s="35" t="s">
        <v>48</v>
      </c>
      <c r="C29" s="12">
        <v>55759.520799999998</v>
      </c>
      <c r="D29" s="12">
        <v>8.9999999999999993E-3</v>
      </c>
      <c r="E29">
        <f t="shared" si="0"/>
        <v>17802.630609103813</v>
      </c>
      <c r="F29">
        <f t="shared" si="1"/>
        <v>17802.5</v>
      </c>
      <c r="G29">
        <f t="shared" si="2"/>
        <v>0.22716750000108732</v>
      </c>
      <c r="I29">
        <f>+G29</f>
        <v>0.22716750000108732</v>
      </c>
      <c r="O29">
        <f t="shared" ca="1" si="3"/>
        <v>0.23130844337330822</v>
      </c>
      <c r="Q29" s="2">
        <f t="shared" si="4"/>
        <v>40741.020799999998</v>
      </c>
    </row>
    <row r="30" spans="1:17" x14ac:dyDescent="0.2">
      <c r="A30" s="59" t="s">
        <v>109</v>
      </c>
      <c r="B30" s="60" t="s">
        <v>48</v>
      </c>
      <c r="C30" s="59">
        <v>55806.487699999998</v>
      </c>
      <c r="D30" s="60" t="s">
        <v>62</v>
      </c>
      <c r="E30">
        <f t="shared" si="0"/>
        <v>17829.634052456946</v>
      </c>
      <c r="F30">
        <f t="shared" si="1"/>
        <v>17829.5</v>
      </c>
      <c r="G30">
        <f t="shared" si="2"/>
        <v>0.23315649999858579</v>
      </c>
      <c r="J30">
        <f>+G30</f>
        <v>0.23315649999858579</v>
      </c>
      <c r="O30">
        <f t="shared" ca="1" si="3"/>
        <v>0.23166123047906764</v>
      </c>
      <c r="Q30" s="2">
        <f t="shared" si="4"/>
        <v>40787.987699999998</v>
      </c>
    </row>
    <row r="31" spans="1:17" x14ac:dyDescent="0.2">
      <c r="A31" s="59" t="s">
        <v>109</v>
      </c>
      <c r="B31" s="60" t="s">
        <v>33</v>
      </c>
      <c r="C31" s="59">
        <v>55873.450799999999</v>
      </c>
      <c r="D31" s="60" t="s">
        <v>62</v>
      </c>
      <c r="E31">
        <f t="shared" si="0"/>
        <v>17868.134236152277</v>
      </c>
      <c r="F31">
        <f t="shared" si="1"/>
        <v>17868</v>
      </c>
      <c r="G31">
        <f t="shared" si="2"/>
        <v>0.23347600000124658</v>
      </c>
      <c r="J31">
        <f>+G31</f>
        <v>0.23347600000124658</v>
      </c>
      <c r="O31">
        <f t="shared" ca="1" si="3"/>
        <v>0.23216427875950235</v>
      </c>
      <c r="Q31" s="2">
        <f t="shared" si="4"/>
        <v>40854.950799999999</v>
      </c>
    </row>
    <row r="32" spans="1:17" x14ac:dyDescent="0.2">
      <c r="A32" s="59" t="s">
        <v>109</v>
      </c>
      <c r="B32" s="60" t="s">
        <v>33</v>
      </c>
      <c r="C32" s="59">
        <v>55887.363400000002</v>
      </c>
      <c r="D32" s="60" t="s">
        <v>62</v>
      </c>
      <c r="E32">
        <f t="shared" si="0"/>
        <v>17876.133233446006</v>
      </c>
      <c r="F32">
        <f t="shared" si="1"/>
        <v>17876</v>
      </c>
      <c r="G32">
        <f t="shared" si="2"/>
        <v>0.23173200000019278</v>
      </c>
      <c r="J32">
        <f>+G32</f>
        <v>0.23173200000019278</v>
      </c>
      <c r="O32">
        <f t="shared" ca="1" si="3"/>
        <v>0.23226880827231994</v>
      </c>
      <c r="Q32" s="2">
        <f t="shared" si="4"/>
        <v>40868.863400000002</v>
      </c>
    </row>
    <row r="33" spans="1:17" x14ac:dyDescent="0.2">
      <c r="A33" s="38" t="s">
        <v>49</v>
      </c>
      <c r="B33" s="39" t="s">
        <v>48</v>
      </c>
      <c r="C33" s="40">
        <v>56133.480100000001</v>
      </c>
      <c r="D33" s="40">
        <v>1.1299999999999999E-2</v>
      </c>
      <c r="E33">
        <f t="shared" si="0"/>
        <v>18017.637108871251</v>
      </c>
      <c r="F33">
        <f t="shared" si="1"/>
        <v>18017.5</v>
      </c>
      <c r="G33">
        <f t="shared" si="2"/>
        <v>0.23847250000108033</v>
      </c>
      <c r="I33">
        <f>+G33</f>
        <v>0.23847250000108033</v>
      </c>
      <c r="O33">
        <f t="shared" ca="1" si="3"/>
        <v>0.23411767403028128</v>
      </c>
      <c r="Q33" s="2">
        <f t="shared" si="4"/>
        <v>41114.980100000001</v>
      </c>
    </row>
    <row r="34" spans="1:17" x14ac:dyDescent="0.2">
      <c r="A34" s="42" t="s">
        <v>50</v>
      </c>
      <c r="B34" s="43" t="s">
        <v>33</v>
      </c>
      <c r="C34" s="40">
        <v>56541.342900000003</v>
      </c>
      <c r="D34" s="44">
        <v>6.9999999999999999E-4</v>
      </c>
      <c r="E34">
        <f t="shared" si="0"/>
        <v>18252.13629905945</v>
      </c>
      <c r="F34">
        <f t="shared" si="1"/>
        <v>18252</v>
      </c>
      <c r="G34">
        <f t="shared" si="2"/>
        <v>0.23706400000082795</v>
      </c>
      <c r="I34">
        <f>+G34</f>
        <v>0.23706400000082795</v>
      </c>
      <c r="O34">
        <f t="shared" ca="1" si="3"/>
        <v>0.2371816953747472</v>
      </c>
      <c r="Q34" s="2">
        <f t="shared" si="4"/>
        <v>41522.842900000003</v>
      </c>
    </row>
    <row r="35" spans="1:17" x14ac:dyDescent="0.2">
      <c r="A35" s="42" t="s">
        <v>50</v>
      </c>
      <c r="B35" s="43" t="s">
        <v>33</v>
      </c>
      <c r="C35" s="40">
        <v>56600.478199999998</v>
      </c>
      <c r="D35" s="44">
        <v>4.5999999999999999E-3</v>
      </c>
      <c r="E35">
        <f t="shared" si="0"/>
        <v>18286.135918445023</v>
      </c>
      <c r="F35">
        <f t="shared" si="1"/>
        <v>18286</v>
      </c>
      <c r="G35">
        <f t="shared" si="2"/>
        <v>0.236401999994996</v>
      </c>
      <c r="I35">
        <f>+G35</f>
        <v>0.236401999994996</v>
      </c>
      <c r="O35">
        <f t="shared" ca="1" si="3"/>
        <v>0.237625945804222</v>
      </c>
      <c r="Q35" s="2">
        <f t="shared" si="4"/>
        <v>41581.978199999998</v>
      </c>
    </row>
    <row r="36" spans="1:17" x14ac:dyDescent="0.2">
      <c r="A36" s="61" t="s">
        <v>132</v>
      </c>
      <c r="B36" s="62" t="s">
        <v>33</v>
      </c>
      <c r="C36" s="63">
        <v>59503.383900000001</v>
      </c>
      <c r="D36" s="61">
        <v>3.5000000000000001E-3</v>
      </c>
      <c r="E36">
        <f t="shared" ref="E36:E37" si="5">+(C36-C$7)/C$8</f>
        <v>19955.15068478974</v>
      </c>
      <c r="F36">
        <f t="shared" ref="F36:F37" si="6">ROUND(2*E36,0)/2</f>
        <v>19955</v>
      </c>
      <c r="G36">
        <f t="shared" ref="G36:G37" si="7">+C36-(C$7+F36*C$8)</f>
        <v>0.26208500000211643</v>
      </c>
      <c r="J36">
        <f>+G36</f>
        <v>0.26208500000211643</v>
      </c>
      <c r="O36">
        <f t="shared" ref="O36:O37" ca="1" si="8">+C$11+C$12*$F36</f>
        <v>0.25943341541579407</v>
      </c>
      <c r="Q36" s="2">
        <f t="shared" ref="Q36:Q37" si="9">+C36-15018.5</f>
        <v>44484.883900000001</v>
      </c>
    </row>
    <row r="37" spans="1:17" x14ac:dyDescent="0.2">
      <c r="A37" s="61" t="s">
        <v>132</v>
      </c>
      <c r="B37" s="62" t="s">
        <v>33</v>
      </c>
      <c r="C37" s="63">
        <v>59529.471299999997</v>
      </c>
      <c r="D37" s="61">
        <v>3.5000000000000001E-3</v>
      </c>
      <c r="E37">
        <f t="shared" si="5"/>
        <v>19970.149537771955</v>
      </c>
      <c r="F37">
        <f t="shared" si="6"/>
        <v>19970</v>
      </c>
      <c r="G37">
        <f t="shared" si="7"/>
        <v>0.2600899999961257</v>
      </c>
      <c r="J37">
        <f>+G37</f>
        <v>0.2600899999961257</v>
      </c>
      <c r="O37">
        <f t="shared" ca="1" si="8"/>
        <v>0.25962940825232705</v>
      </c>
      <c r="Q37" s="2">
        <f t="shared" si="9"/>
        <v>44510.971299999997</v>
      </c>
    </row>
    <row r="38" spans="1:17" x14ac:dyDescent="0.2">
      <c r="D38" s="5"/>
    </row>
    <row r="39" spans="1:17" x14ac:dyDescent="0.2">
      <c r="D39" s="5"/>
    </row>
    <row r="40" spans="1:17" x14ac:dyDescent="0.2">
      <c r="D40" s="5"/>
    </row>
    <row r="41" spans="1:17" x14ac:dyDescent="0.2">
      <c r="D41" s="5"/>
    </row>
    <row r="42" spans="1:17" x14ac:dyDescent="0.2">
      <c r="D42" s="5"/>
    </row>
    <row r="43" spans="1:17" x14ac:dyDescent="0.2">
      <c r="D43" s="5"/>
    </row>
    <row r="44" spans="1:17" x14ac:dyDescent="0.2">
      <c r="D44" s="5"/>
    </row>
    <row r="45" spans="1:17" x14ac:dyDescent="0.2">
      <c r="D45" s="5"/>
    </row>
    <row r="46" spans="1:17" x14ac:dyDescent="0.2">
      <c r="D46" s="5"/>
    </row>
    <row r="47" spans="1:17" x14ac:dyDescent="0.2">
      <c r="D47" s="5"/>
    </row>
    <row r="48" spans="1:17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  <row r="52" spans="4:4" x14ac:dyDescent="0.2">
      <c r="D52" s="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2"/>
  <sheetViews>
    <sheetView topLeftCell="A2" workbookViewId="0">
      <selection activeCell="A20" sqref="A20:D24"/>
    </sheetView>
  </sheetViews>
  <sheetFormatPr defaultRowHeight="12.75" x14ac:dyDescent="0.2"/>
  <cols>
    <col min="1" max="1" width="19.7109375" style="36" customWidth="1"/>
    <col min="2" max="2" width="4.42578125" style="18" customWidth="1"/>
    <col min="3" max="3" width="12.7109375" style="36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36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6" t="s">
        <v>52</v>
      </c>
      <c r="I1" s="47" t="s">
        <v>53</v>
      </c>
      <c r="J1" s="48" t="s">
        <v>54</v>
      </c>
    </row>
    <row r="2" spans="1:16" x14ac:dyDescent="0.2">
      <c r="I2" s="49" t="s">
        <v>55</v>
      </c>
      <c r="J2" s="50" t="s">
        <v>56</v>
      </c>
    </row>
    <row r="3" spans="1:16" x14ac:dyDescent="0.2">
      <c r="A3" s="51" t="s">
        <v>57</v>
      </c>
      <c r="I3" s="49" t="s">
        <v>58</v>
      </c>
      <c r="J3" s="50" t="s">
        <v>59</v>
      </c>
    </row>
    <row r="4" spans="1:16" x14ac:dyDescent="0.2">
      <c r="I4" s="49" t="s">
        <v>60</v>
      </c>
      <c r="J4" s="50" t="s">
        <v>59</v>
      </c>
    </row>
    <row r="5" spans="1:16" ht="13.5" thickBot="1" x14ac:dyDescent="0.25">
      <c r="I5" s="52" t="s">
        <v>61</v>
      </c>
      <c r="J5" s="53" t="s">
        <v>62</v>
      </c>
    </row>
    <row r="10" spans="1:16" ht="13.5" thickBot="1" x14ac:dyDescent="0.25"/>
    <row r="11" spans="1:16" ht="12.75" customHeight="1" thickBot="1" x14ac:dyDescent="0.25">
      <c r="A11" s="36" t="str">
        <f t="shared" ref="A11:A24" si="0">P11</f>
        <v>IBVS 4888 </v>
      </c>
      <c r="B11" s="5" t="str">
        <f t="shared" ref="B11:B24" si="1">IF(H11=INT(H11),"I","II")</f>
        <v>I</v>
      </c>
      <c r="C11" s="36">
        <f t="shared" ref="C11:C24" si="2">1*G11</f>
        <v>51043.392500000002</v>
      </c>
      <c r="D11" s="18" t="str">
        <f t="shared" ref="D11:D24" si="3">VLOOKUP(F11,I$1:J$5,2,FALSE)</f>
        <v>vis</v>
      </c>
      <c r="E11" s="54">
        <f>VLOOKUP(C11,Active!C$21:E$973,3,FALSE)</f>
        <v>15091.110295965087</v>
      </c>
      <c r="F11" s="5" t="s">
        <v>61</v>
      </c>
      <c r="G11" s="18" t="str">
        <f t="shared" ref="G11:G24" si="4">MID(I11,3,LEN(I11)-3)</f>
        <v>51043.3925</v>
      </c>
      <c r="H11" s="36">
        <f t="shared" ref="H11:H24" si="5">1*K11</f>
        <v>15091</v>
      </c>
      <c r="I11" s="55" t="s">
        <v>63</v>
      </c>
      <c r="J11" s="56" t="s">
        <v>64</v>
      </c>
      <c r="K11" s="55">
        <v>15091</v>
      </c>
      <c r="L11" s="55" t="s">
        <v>65</v>
      </c>
      <c r="M11" s="56" t="s">
        <v>66</v>
      </c>
      <c r="N11" s="56" t="s">
        <v>67</v>
      </c>
      <c r="O11" s="57" t="s">
        <v>68</v>
      </c>
      <c r="P11" s="58" t="s">
        <v>69</v>
      </c>
    </row>
    <row r="12" spans="1:16" ht="12.75" customHeight="1" thickBot="1" x14ac:dyDescent="0.25">
      <c r="A12" s="36" t="str">
        <f t="shared" si="0"/>
        <v>IBVS 5263 </v>
      </c>
      <c r="B12" s="5" t="str">
        <f t="shared" si="1"/>
        <v>I</v>
      </c>
      <c r="C12" s="36">
        <f t="shared" si="2"/>
        <v>51363.427600000003</v>
      </c>
      <c r="D12" s="18" t="str">
        <f t="shared" si="3"/>
        <v>vis</v>
      </c>
      <c r="E12" s="54">
        <f>VLOOKUP(C12,Active!C$21:E$973,3,FALSE)</f>
        <v>15275.113278786268</v>
      </c>
      <c r="F12" s="5" t="s">
        <v>61</v>
      </c>
      <c r="G12" s="18" t="str">
        <f t="shared" si="4"/>
        <v>51363.4276</v>
      </c>
      <c r="H12" s="36">
        <f t="shared" si="5"/>
        <v>15275</v>
      </c>
      <c r="I12" s="55" t="s">
        <v>70</v>
      </c>
      <c r="J12" s="56" t="s">
        <v>71</v>
      </c>
      <c r="K12" s="55">
        <v>15275</v>
      </c>
      <c r="L12" s="55" t="s">
        <v>72</v>
      </c>
      <c r="M12" s="56" t="s">
        <v>66</v>
      </c>
      <c r="N12" s="56" t="s">
        <v>67</v>
      </c>
      <c r="O12" s="57" t="s">
        <v>68</v>
      </c>
      <c r="P12" s="58" t="s">
        <v>73</v>
      </c>
    </row>
    <row r="13" spans="1:16" ht="12.75" customHeight="1" thickBot="1" x14ac:dyDescent="0.25">
      <c r="A13" s="36" t="str">
        <f t="shared" si="0"/>
        <v>BAVM 178 </v>
      </c>
      <c r="B13" s="5" t="str">
        <f t="shared" si="1"/>
        <v>I</v>
      </c>
      <c r="C13" s="36">
        <f t="shared" si="2"/>
        <v>53657.571499999998</v>
      </c>
      <c r="D13" s="18" t="str">
        <f t="shared" si="3"/>
        <v>vis</v>
      </c>
      <c r="E13" s="54">
        <f>VLOOKUP(C13,Active!C$21:E$973,3,FALSE)</f>
        <v>16594.122726878104</v>
      </c>
      <c r="F13" s="5" t="s">
        <v>61</v>
      </c>
      <c r="G13" s="18" t="str">
        <f t="shared" si="4"/>
        <v>53657.5715</v>
      </c>
      <c r="H13" s="36">
        <f t="shared" si="5"/>
        <v>16594</v>
      </c>
      <c r="I13" s="55" t="s">
        <v>74</v>
      </c>
      <c r="J13" s="56" t="s">
        <v>75</v>
      </c>
      <c r="K13" s="55">
        <v>16594</v>
      </c>
      <c r="L13" s="55" t="s">
        <v>76</v>
      </c>
      <c r="M13" s="56" t="s">
        <v>66</v>
      </c>
      <c r="N13" s="56" t="s">
        <v>77</v>
      </c>
      <c r="O13" s="57" t="s">
        <v>78</v>
      </c>
      <c r="P13" s="58" t="s">
        <v>79</v>
      </c>
    </row>
    <row r="14" spans="1:16" ht="12.75" customHeight="1" thickBot="1" x14ac:dyDescent="0.25">
      <c r="A14" s="36" t="str">
        <f t="shared" si="0"/>
        <v>BAVM 178 </v>
      </c>
      <c r="B14" s="5" t="str">
        <f t="shared" si="1"/>
        <v>I</v>
      </c>
      <c r="C14" s="36">
        <f t="shared" si="2"/>
        <v>53657.572699999997</v>
      </c>
      <c r="D14" s="18" t="str">
        <f t="shared" si="3"/>
        <v>vis</v>
      </c>
      <c r="E14" s="54">
        <f>VLOOKUP(C14,Active!C$21:E$973,3,FALSE)</f>
        <v>16594.123416813614</v>
      </c>
      <c r="F14" s="5" t="s">
        <v>61</v>
      </c>
      <c r="G14" s="18" t="str">
        <f t="shared" si="4"/>
        <v>53657.5727</v>
      </c>
      <c r="H14" s="36">
        <f t="shared" si="5"/>
        <v>16594</v>
      </c>
      <c r="I14" s="55" t="s">
        <v>80</v>
      </c>
      <c r="J14" s="56" t="s">
        <v>81</v>
      </c>
      <c r="K14" s="55" t="s">
        <v>82</v>
      </c>
      <c r="L14" s="55" t="s">
        <v>83</v>
      </c>
      <c r="M14" s="56" t="s">
        <v>84</v>
      </c>
      <c r="N14" s="56" t="s">
        <v>77</v>
      </c>
      <c r="O14" s="57" t="s">
        <v>78</v>
      </c>
      <c r="P14" s="58" t="s">
        <v>79</v>
      </c>
    </row>
    <row r="15" spans="1:16" ht="12.75" customHeight="1" thickBot="1" x14ac:dyDescent="0.25">
      <c r="A15" s="36" t="str">
        <f t="shared" si="0"/>
        <v>BAVM 215 </v>
      </c>
      <c r="B15" s="5" t="str">
        <f t="shared" si="1"/>
        <v>I</v>
      </c>
      <c r="C15" s="36">
        <f t="shared" si="2"/>
        <v>55480.365299999998</v>
      </c>
      <c r="D15" s="18" t="str">
        <f t="shared" si="3"/>
        <v>vis</v>
      </c>
      <c r="E15" s="54">
        <f>VLOOKUP(C15,Active!C$21:E$973,3,FALSE)</f>
        <v>17642.131199286145</v>
      </c>
      <c r="F15" s="5" t="s">
        <v>61</v>
      </c>
      <c r="G15" s="18" t="str">
        <f t="shared" si="4"/>
        <v>55480.3653</v>
      </c>
      <c r="H15" s="36">
        <f t="shared" si="5"/>
        <v>17642</v>
      </c>
      <c r="I15" s="55" t="s">
        <v>95</v>
      </c>
      <c r="J15" s="56" t="s">
        <v>96</v>
      </c>
      <c r="K15" s="55" t="s">
        <v>97</v>
      </c>
      <c r="L15" s="55" t="s">
        <v>98</v>
      </c>
      <c r="M15" s="56" t="s">
        <v>84</v>
      </c>
      <c r="N15" s="56" t="s">
        <v>77</v>
      </c>
      <c r="O15" s="57" t="s">
        <v>78</v>
      </c>
      <c r="P15" s="58" t="s">
        <v>99</v>
      </c>
    </row>
    <row r="16" spans="1:16" ht="12.75" customHeight="1" thickBot="1" x14ac:dyDescent="0.25">
      <c r="A16" s="36" t="str">
        <f t="shared" si="0"/>
        <v>BAVM 220 </v>
      </c>
      <c r="B16" s="5" t="str">
        <f t="shared" si="1"/>
        <v>II</v>
      </c>
      <c r="C16" s="36">
        <f t="shared" si="2"/>
        <v>55759.520799999998</v>
      </c>
      <c r="D16" s="18" t="str">
        <f t="shared" si="3"/>
        <v>vis</v>
      </c>
      <c r="E16" s="54">
        <f>VLOOKUP(C16,Active!C$21:E$973,3,FALSE)</f>
        <v>17802.630609103813</v>
      </c>
      <c r="F16" s="5" t="s">
        <v>61</v>
      </c>
      <c r="G16" s="18" t="str">
        <f t="shared" si="4"/>
        <v>55759.5208</v>
      </c>
      <c r="H16" s="36">
        <f t="shared" si="5"/>
        <v>17802.5</v>
      </c>
      <c r="I16" s="55" t="s">
        <v>100</v>
      </c>
      <c r="J16" s="56" t="s">
        <v>101</v>
      </c>
      <c r="K16" s="55" t="s">
        <v>102</v>
      </c>
      <c r="L16" s="55" t="s">
        <v>103</v>
      </c>
      <c r="M16" s="56" t="s">
        <v>84</v>
      </c>
      <c r="N16" s="56" t="s">
        <v>77</v>
      </c>
      <c r="O16" s="57" t="s">
        <v>78</v>
      </c>
      <c r="P16" s="58" t="s">
        <v>104</v>
      </c>
    </row>
    <row r="17" spans="1:16" ht="12.75" customHeight="1" thickBot="1" x14ac:dyDescent="0.25">
      <c r="A17" s="36" t="str">
        <f t="shared" si="0"/>
        <v>BAVM 231 </v>
      </c>
      <c r="B17" s="5" t="str">
        <f t="shared" si="1"/>
        <v>II</v>
      </c>
      <c r="C17" s="36">
        <f t="shared" si="2"/>
        <v>56133.480100000001</v>
      </c>
      <c r="D17" s="18" t="str">
        <f t="shared" si="3"/>
        <v>vis</v>
      </c>
      <c r="E17" s="54">
        <f>VLOOKUP(C17,Active!C$21:E$973,3,FALSE)</f>
        <v>18017.637108871251</v>
      </c>
      <c r="F17" s="5" t="s">
        <v>61</v>
      </c>
      <c r="G17" s="18" t="str">
        <f t="shared" si="4"/>
        <v>56133.4801</v>
      </c>
      <c r="H17" s="36">
        <f t="shared" si="5"/>
        <v>18017.5</v>
      </c>
      <c r="I17" s="55" t="s">
        <v>118</v>
      </c>
      <c r="J17" s="56" t="s">
        <v>119</v>
      </c>
      <c r="K17" s="55" t="s">
        <v>120</v>
      </c>
      <c r="L17" s="55" t="s">
        <v>121</v>
      </c>
      <c r="M17" s="56" t="s">
        <v>84</v>
      </c>
      <c r="N17" s="56" t="s">
        <v>77</v>
      </c>
      <c r="O17" s="57" t="s">
        <v>78</v>
      </c>
      <c r="P17" s="58" t="s">
        <v>122</v>
      </c>
    </row>
    <row r="18" spans="1:16" ht="12.75" customHeight="1" thickBot="1" x14ac:dyDescent="0.25">
      <c r="A18" s="36" t="str">
        <f t="shared" si="0"/>
        <v>BAVM 234 </v>
      </c>
      <c r="B18" s="5" t="str">
        <f t="shared" si="1"/>
        <v>I</v>
      </c>
      <c r="C18" s="36">
        <f t="shared" si="2"/>
        <v>56541.342900000003</v>
      </c>
      <c r="D18" s="18" t="str">
        <f t="shared" si="3"/>
        <v>vis</v>
      </c>
      <c r="E18" s="54">
        <f>VLOOKUP(C18,Active!C$21:E$973,3,FALSE)</f>
        <v>18252.13629905945</v>
      </c>
      <c r="F18" s="5" t="s">
        <v>61</v>
      </c>
      <c r="G18" s="18" t="str">
        <f t="shared" si="4"/>
        <v>56541.3429</v>
      </c>
      <c r="H18" s="36">
        <f t="shared" si="5"/>
        <v>18252</v>
      </c>
      <c r="I18" s="55" t="s">
        <v>123</v>
      </c>
      <c r="J18" s="56" t="s">
        <v>124</v>
      </c>
      <c r="K18" s="55" t="s">
        <v>125</v>
      </c>
      <c r="L18" s="55" t="s">
        <v>126</v>
      </c>
      <c r="M18" s="56" t="s">
        <v>84</v>
      </c>
      <c r="N18" s="56" t="s">
        <v>77</v>
      </c>
      <c r="O18" s="57" t="s">
        <v>78</v>
      </c>
      <c r="P18" s="58" t="s">
        <v>127</v>
      </c>
    </row>
    <row r="19" spans="1:16" ht="12.75" customHeight="1" thickBot="1" x14ac:dyDescent="0.25">
      <c r="A19" s="36" t="str">
        <f t="shared" si="0"/>
        <v>BAVM 234 </v>
      </c>
      <c r="B19" s="5" t="str">
        <f t="shared" si="1"/>
        <v>I</v>
      </c>
      <c r="C19" s="36">
        <f t="shared" si="2"/>
        <v>56600.478199999998</v>
      </c>
      <c r="D19" s="18" t="str">
        <f t="shared" si="3"/>
        <v>vis</v>
      </c>
      <c r="E19" s="54">
        <f>VLOOKUP(C19,Active!C$21:E$973,3,FALSE)</f>
        <v>18286.135918445023</v>
      </c>
      <c r="F19" s="5" t="s">
        <v>61</v>
      </c>
      <c r="G19" s="18" t="str">
        <f t="shared" si="4"/>
        <v>56600.4782</v>
      </c>
      <c r="H19" s="36">
        <f t="shared" si="5"/>
        <v>18286</v>
      </c>
      <c r="I19" s="55" t="s">
        <v>128</v>
      </c>
      <c r="J19" s="56" t="s">
        <v>129</v>
      </c>
      <c r="K19" s="55" t="s">
        <v>130</v>
      </c>
      <c r="L19" s="55" t="s">
        <v>131</v>
      </c>
      <c r="M19" s="56" t="s">
        <v>84</v>
      </c>
      <c r="N19" s="56" t="s">
        <v>77</v>
      </c>
      <c r="O19" s="57" t="s">
        <v>78</v>
      </c>
      <c r="P19" s="58" t="s">
        <v>127</v>
      </c>
    </row>
    <row r="20" spans="1:16" ht="12.75" customHeight="1" thickBot="1" x14ac:dyDescent="0.25">
      <c r="A20" s="36" t="str">
        <f t="shared" si="0"/>
        <v>BAVM 203 </v>
      </c>
      <c r="B20" s="5" t="str">
        <f t="shared" si="1"/>
        <v>II</v>
      </c>
      <c r="C20" s="36">
        <f t="shared" si="2"/>
        <v>54712.463799999998</v>
      </c>
      <c r="D20" s="18" t="str">
        <f t="shared" si="3"/>
        <v>vis</v>
      </c>
      <c r="E20" s="54">
        <f>VLOOKUP(C20,Active!C$21:E$973,3,FALSE)</f>
        <v>17200.629106194297</v>
      </c>
      <c r="F20" s="5" t="s">
        <v>61</v>
      </c>
      <c r="G20" s="18" t="str">
        <f t="shared" si="4"/>
        <v>54712.4638</v>
      </c>
      <c r="H20" s="36">
        <f t="shared" si="5"/>
        <v>17200.5</v>
      </c>
      <c r="I20" s="55" t="s">
        <v>85</v>
      </c>
      <c r="J20" s="56" t="s">
        <v>86</v>
      </c>
      <c r="K20" s="55" t="s">
        <v>87</v>
      </c>
      <c r="L20" s="55" t="s">
        <v>88</v>
      </c>
      <c r="M20" s="56" t="s">
        <v>84</v>
      </c>
      <c r="N20" s="56" t="s">
        <v>77</v>
      </c>
      <c r="O20" s="57" t="s">
        <v>78</v>
      </c>
      <c r="P20" s="58" t="s">
        <v>89</v>
      </c>
    </row>
    <row r="21" spans="1:16" ht="12.75" customHeight="1" thickBot="1" x14ac:dyDescent="0.25">
      <c r="A21" s="36" t="str">
        <f t="shared" si="0"/>
        <v>BAVM 212 </v>
      </c>
      <c r="B21" s="5" t="str">
        <f t="shared" si="1"/>
        <v>II</v>
      </c>
      <c r="C21" s="36">
        <f t="shared" si="2"/>
        <v>55039.4548</v>
      </c>
      <c r="D21" s="18" t="str">
        <f t="shared" si="3"/>
        <v>vis</v>
      </c>
      <c r="E21" s="54">
        <f>VLOOKUP(C21,Active!C$21:E$973,3,FALSE)</f>
        <v>17388.63135768384</v>
      </c>
      <c r="F21" s="5" t="s">
        <v>61</v>
      </c>
      <c r="G21" s="18" t="str">
        <f t="shared" si="4"/>
        <v>55039.4548</v>
      </c>
      <c r="H21" s="36">
        <f t="shared" si="5"/>
        <v>17388.5</v>
      </c>
      <c r="I21" s="55" t="s">
        <v>90</v>
      </c>
      <c r="J21" s="56" t="s">
        <v>91</v>
      </c>
      <c r="K21" s="55" t="s">
        <v>92</v>
      </c>
      <c r="L21" s="55" t="s">
        <v>93</v>
      </c>
      <c r="M21" s="56" t="s">
        <v>84</v>
      </c>
      <c r="N21" s="56" t="s">
        <v>77</v>
      </c>
      <c r="O21" s="57" t="s">
        <v>78</v>
      </c>
      <c r="P21" s="58" t="s">
        <v>94</v>
      </c>
    </row>
    <row r="22" spans="1:16" ht="12.75" customHeight="1" thickBot="1" x14ac:dyDescent="0.25">
      <c r="A22" s="36" t="str">
        <f t="shared" si="0"/>
        <v>BAVM 225 </v>
      </c>
      <c r="B22" s="5" t="str">
        <f t="shared" si="1"/>
        <v>II</v>
      </c>
      <c r="C22" s="36">
        <f t="shared" si="2"/>
        <v>55806.487699999998</v>
      </c>
      <c r="D22" s="18" t="str">
        <f t="shared" si="3"/>
        <v>vis</v>
      </c>
      <c r="E22" s="54">
        <f>VLOOKUP(C22,Active!C$21:E$973,3,FALSE)</f>
        <v>17829.634052456946</v>
      </c>
      <c r="F22" s="5" t="s">
        <v>61</v>
      </c>
      <c r="G22" s="18" t="str">
        <f t="shared" si="4"/>
        <v>55806.4877</v>
      </c>
      <c r="H22" s="36">
        <f t="shared" si="5"/>
        <v>17829.5</v>
      </c>
      <c r="I22" s="55" t="s">
        <v>105</v>
      </c>
      <c r="J22" s="56" t="s">
        <v>106</v>
      </c>
      <c r="K22" s="55" t="s">
        <v>107</v>
      </c>
      <c r="L22" s="55" t="s">
        <v>108</v>
      </c>
      <c r="M22" s="56" t="s">
        <v>84</v>
      </c>
      <c r="N22" s="56" t="s">
        <v>77</v>
      </c>
      <c r="O22" s="57" t="s">
        <v>78</v>
      </c>
      <c r="P22" s="58" t="s">
        <v>109</v>
      </c>
    </row>
    <row r="23" spans="1:16" ht="12.75" customHeight="1" thickBot="1" x14ac:dyDescent="0.25">
      <c r="A23" s="36" t="str">
        <f t="shared" si="0"/>
        <v>BAVM 225 </v>
      </c>
      <c r="B23" s="5" t="str">
        <f t="shared" si="1"/>
        <v>I</v>
      </c>
      <c r="C23" s="36">
        <f t="shared" si="2"/>
        <v>55873.450799999999</v>
      </c>
      <c r="D23" s="18" t="str">
        <f t="shared" si="3"/>
        <v>vis</v>
      </c>
      <c r="E23" s="54">
        <f>VLOOKUP(C23,Active!C$21:E$973,3,FALSE)</f>
        <v>17868.134236152277</v>
      </c>
      <c r="F23" s="5" t="s">
        <v>61</v>
      </c>
      <c r="G23" s="18" t="str">
        <f t="shared" si="4"/>
        <v>55873.4508</v>
      </c>
      <c r="H23" s="36">
        <f t="shared" si="5"/>
        <v>17868</v>
      </c>
      <c r="I23" s="55" t="s">
        <v>110</v>
      </c>
      <c r="J23" s="56" t="s">
        <v>111</v>
      </c>
      <c r="K23" s="55" t="s">
        <v>112</v>
      </c>
      <c r="L23" s="55" t="s">
        <v>113</v>
      </c>
      <c r="M23" s="56" t="s">
        <v>84</v>
      </c>
      <c r="N23" s="56" t="s">
        <v>77</v>
      </c>
      <c r="O23" s="57" t="s">
        <v>78</v>
      </c>
      <c r="P23" s="58" t="s">
        <v>109</v>
      </c>
    </row>
    <row r="24" spans="1:16" ht="12.75" customHeight="1" thickBot="1" x14ac:dyDescent="0.25">
      <c r="A24" s="36" t="str">
        <f t="shared" si="0"/>
        <v>BAVM 225 </v>
      </c>
      <c r="B24" s="5" t="str">
        <f t="shared" si="1"/>
        <v>I</v>
      </c>
      <c r="C24" s="36">
        <f t="shared" si="2"/>
        <v>55887.363400000002</v>
      </c>
      <c r="D24" s="18" t="str">
        <f t="shared" si="3"/>
        <v>vis</v>
      </c>
      <c r="E24" s="54">
        <f>VLOOKUP(C24,Active!C$21:E$973,3,FALSE)</f>
        <v>17876.133233446006</v>
      </c>
      <c r="F24" s="5" t="s">
        <v>61</v>
      </c>
      <c r="G24" s="18" t="str">
        <f t="shared" si="4"/>
        <v>55887.3634</v>
      </c>
      <c r="H24" s="36">
        <f t="shared" si="5"/>
        <v>17876</v>
      </c>
      <c r="I24" s="55" t="s">
        <v>114</v>
      </c>
      <c r="J24" s="56" t="s">
        <v>115</v>
      </c>
      <c r="K24" s="55" t="s">
        <v>116</v>
      </c>
      <c r="L24" s="55" t="s">
        <v>117</v>
      </c>
      <c r="M24" s="56" t="s">
        <v>84</v>
      </c>
      <c r="N24" s="56" t="s">
        <v>77</v>
      </c>
      <c r="O24" s="57" t="s">
        <v>78</v>
      </c>
      <c r="P24" s="58" t="s">
        <v>109</v>
      </c>
    </row>
    <row r="25" spans="1:16" x14ac:dyDescent="0.2">
      <c r="B25" s="5"/>
      <c r="E25" s="54"/>
      <c r="F25" s="5"/>
    </row>
    <row r="26" spans="1:16" x14ac:dyDescent="0.2">
      <c r="B26" s="5"/>
      <c r="E26" s="54"/>
      <c r="F26" s="5"/>
    </row>
    <row r="27" spans="1:16" x14ac:dyDescent="0.2">
      <c r="B27" s="5"/>
      <c r="E27" s="54"/>
      <c r="F27" s="5"/>
    </row>
    <row r="28" spans="1:16" x14ac:dyDescent="0.2">
      <c r="B28" s="5"/>
      <c r="E28" s="54"/>
      <c r="F28" s="5"/>
    </row>
    <row r="29" spans="1:16" x14ac:dyDescent="0.2">
      <c r="B29" s="5"/>
      <c r="E29" s="54"/>
      <c r="F29" s="5"/>
    </row>
    <row r="30" spans="1:16" x14ac:dyDescent="0.2">
      <c r="B30" s="5"/>
      <c r="E30" s="54"/>
      <c r="F30" s="5"/>
    </row>
    <row r="31" spans="1:16" x14ac:dyDescent="0.2">
      <c r="B31" s="5"/>
      <c r="E31" s="54"/>
      <c r="F31" s="5"/>
    </row>
    <row r="32" spans="1:16" x14ac:dyDescent="0.2">
      <c r="B32" s="5"/>
      <c r="E32" s="54"/>
      <c r="F32" s="5"/>
    </row>
    <row r="33" spans="2:6" x14ac:dyDescent="0.2">
      <c r="B33" s="5"/>
      <c r="E33" s="54"/>
      <c r="F33" s="5"/>
    </row>
    <row r="34" spans="2:6" x14ac:dyDescent="0.2">
      <c r="B34" s="5"/>
      <c r="E34" s="54"/>
      <c r="F34" s="5"/>
    </row>
    <row r="35" spans="2:6" x14ac:dyDescent="0.2">
      <c r="B35" s="5"/>
      <c r="E35" s="54"/>
      <c r="F35" s="5"/>
    </row>
    <row r="36" spans="2:6" x14ac:dyDescent="0.2">
      <c r="B36" s="5"/>
      <c r="E36" s="54"/>
      <c r="F36" s="5"/>
    </row>
    <row r="37" spans="2:6" x14ac:dyDescent="0.2">
      <c r="B37" s="5"/>
      <c r="E37" s="54"/>
      <c r="F37" s="5"/>
    </row>
    <row r="38" spans="2:6" x14ac:dyDescent="0.2">
      <c r="B38" s="5"/>
      <c r="E38" s="54"/>
      <c r="F38" s="5"/>
    </row>
    <row r="39" spans="2:6" x14ac:dyDescent="0.2">
      <c r="B39" s="5"/>
      <c r="E39" s="54"/>
      <c r="F39" s="5"/>
    </row>
    <row r="40" spans="2:6" x14ac:dyDescent="0.2">
      <c r="B40" s="5"/>
      <c r="E40" s="54"/>
      <c r="F40" s="5"/>
    </row>
    <row r="41" spans="2:6" x14ac:dyDescent="0.2">
      <c r="B41" s="5"/>
      <c r="E41" s="54"/>
      <c r="F41" s="5"/>
    </row>
    <row r="42" spans="2:6" x14ac:dyDescent="0.2">
      <c r="B42" s="5"/>
      <c r="E42" s="54"/>
      <c r="F42" s="5"/>
    </row>
    <row r="43" spans="2:6" x14ac:dyDescent="0.2">
      <c r="B43" s="5"/>
      <c r="E43" s="54"/>
      <c r="F43" s="5"/>
    </row>
    <row r="44" spans="2:6" x14ac:dyDescent="0.2">
      <c r="B44" s="5"/>
      <c r="E44" s="54"/>
      <c r="F44" s="5"/>
    </row>
    <row r="45" spans="2:6" x14ac:dyDescent="0.2">
      <c r="B45" s="5"/>
      <c r="E45" s="54"/>
      <c r="F45" s="5"/>
    </row>
    <row r="46" spans="2:6" x14ac:dyDescent="0.2">
      <c r="B46" s="5"/>
      <c r="E46" s="54"/>
      <c r="F46" s="5"/>
    </row>
    <row r="47" spans="2:6" x14ac:dyDescent="0.2">
      <c r="B47" s="5"/>
      <c r="E47" s="54"/>
      <c r="F47" s="5"/>
    </row>
    <row r="48" spans="2:6" x14ac:dyDescent="0.2">
      <c r="B48" s="5"/>
      <c r="E48" s="54"/>
      <c r="F48" s="5"/>
    </row>
    <row r="49" spans="2:6" x14ac:dyDescent="0.2">
      <c r="B49" s="5"/>
      <c r="E49" s="54"/>
      <c r="F49" s="5"/>
    </row>
    <row r="50" spans="2:6" x14ac:dyDescent="0.2">
      <c r="B50" s="5"/>
      <c r="E50" s="54"/>
      <c r="F50" s="5"/>
    </row>
    <row r="51" spans="2:6" x14ac:dyDescent="0.2">
      <c r="B51" s="5"/>
      <c r="E51" s="54"/>
      <c r="F51" s="5"/>
    </row>
    <row r="52" spans="2:6" x14ac:dyDescent="0.2">
      <c r="B52" s="5"/>
      <c r="E52" s="54"/>
      <c r="F52" s="5"/>
    </row>
    <row r="53" spans="2:6" x14ac:dyDescent="0.2">
      <c r="B53" s="5"/>
      <c r="E53" s="54"/>
      <c r="F53" s="5"/>
    </row>
    <row r="54" spans="2:6" x14ac:dyDescent="0.2">
      <c r="B54" s="5"/>
      <c r="E54" s="54"/>
      <c r="F54" s="5"/>
    </row>
    <row r="55" spans="2:6" x14ac:dyDescent="0.2">
      <c r="B55" s="5"/>
      <c r="E55" s="54"/>
      <c r="F55" s="5"/>
    </row>
    <row r="56" spans="2:6" x14ac:dyDescent="0.2">
      <c r="B56" s="5"/>
      <c r="E56" s="54"/>
      <c r="F56" s="5"/>
    </row>
    <row r="57" spans="2:6" x14ac:dyDescent="0.2">
      <c r="B57" s="5"/>
      <c r="E57" s="54"/>
      <c r="F57" s="5"/>
    </row>
    <row r="58" spans="2:6" x14ac:dyDescent="0.2">
      <c r="B58" s="5"/>
      <c r="E58" s="54"/>
      <c r="F58" s="5"/>
    </row>
    <row r="59" spans="2:6" x14ac:dyDescent="0.2">
      <c r="B59" s="5"/>
      <c r="E59" s="54"/>
      <c r="F59" s="5"/>
    </row>
    <row r="60" spans="2:6" x14ac:dyDescent="0.2">
      <c r="B60" s="5"/>
      <c r="E60" s="54"/>
      <c r="F60" s="5"/>
    </row>
    <row r="61" spans="2:6" x14ac:dyDescent="0.2">
      <c r="B61" s="5"/>
      <c r="E61" s="54"/>
      <c r="F61" s="5"/>
    </row>
    <row r="62" spans="2:6" x14ac:dyDescent="0.2">
      <c r="B62" s="5"/>
      <c r="E62" s="54"/>
      <c r="F62" s="5"/>
    </row>
    <row r="63" spans="2:6" x14ac:dyDescent="0.2">
      <c r="B63" s="5"/>
      <c r="E63" s="54"/>
      <c r="F63" s="5"/>
    </row>
    <row r="64" spans="2:6" x14ac:dyDescent="0.2">
      <c r="B64" s="5"/>
      <c r="E64" s="54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</sheetData>
  <phoneticPr fontId="8" type="noConversion"/>
  <hyperlinks>
    <hyperlink ref="P11" r:id="rId1" display="http://www.konkoly.hu/cgi-bin/IBVS?4888"/>
    <hyperlink ref="P12" r:id="rId2" display="http://www.konkoly.hu/cgi-bin/IBVS?5263"/>
    <hyperlink ref="P13" r:id="rId3" display="http://www.bav-astro.de/sfs/BAVM_link.php?BAVMnr=178"/>
    <hyperlink ref="P14" r:id="rId4" display="http://www.bav-astro.de/sfs/BAVM_link.php?BAVMnr=178"/>
    <hyperlink ref="P20" r:id="rId5" display="http://www.bav-astro.de/sfs/BAVM_link.php?BAVMnr=203"/>
    <hyperlink ref="P21" r:id="rId6" display="http://www.bav-astro.de/sfs/BAVM_link.php?BAVMnr=212"/>
    <hyperlink ref="P15" r:id="rId7" display="http://www.bav-astro.de/sfs/BAVM_link.php?BAVMnr=215"/>
    <hyperlink ref="P16" r:id="rId8" display="http://www.bav-astro.de/sfs/BAVM_link.php?BAVMnr=220"/>
    <hyperlink ref="P22" r:id="rId9" display="http://www.bav-astro.de/sfs/BAVM_link.php?BAVMnr=225"/>
    <hyperlink ref="P23" r:id="rId10" display="http://www.bav-astro.de/sfs/BAVM_link.php?BAVMnr=225"/>
    <hyperlink ref="P24" r:id="rId11" display="http://www.bav-astro.de/sfs/BAVM_link.php?BAVMnr=225"/>
    <hyperlink ref="P17" r:id="rId12" display="http://www.bav-astro.de/sfs/BAVM_link.php?BAVMnr=231"/>
    <hyperlink ref="P18" r:id="rId13" display="http://www.bav-astro.de/sfs/BAVM_link.php?BAVMnr=234"/>
    <hyperlink ref="P19" r:id="rId14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2023-01-16T07:10:04Z</dcterms:modified>
</cp:coreProperties>
</file>