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F5AC9C6-C315-4DEB-85B7-A225EF6F3A8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Q63" i="1"/>
  <c r="Q61" i="1"/>
  <c r="Q62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8" i="1"/>
  <c r="Q49" i="1"/>
  <c r="Q52" i="1"/>
  <c r="Q54" i="1"/>
  <c r="Q56" i="1"/>
  <c r="Q57" i="1"/>
  <c r="Q59" i="1"/>
  <c r="Q60" i="1"/>
  <c r="G47" i="2"/>
  <c r="C47" i="2"/>
  <c r="G46" i="2"/>
  <c r="C46" i="2"/>
  <c r="G45" i="2"/>
  <c r="C45" i="2"/>
  <c r="G44" i="2"/>
  <c r="C44" i="2"/>
  <c r="G17" i="2"/>
  <c r="C17" i="2"/>
  <c r="G43" i="2"/>
  <c r="C43" i="2"/>
  <c r="G16" i="2"/>
  <c r="C16" i="2"/>
  <c r="G42" i="2"/>
  <c r="C42" i="2"/>
  <c r="G15" i="2"/>
  <c r="C15" i="2"/>
  <c r="G14" i="2"/>
  <c r="C14" i="2"/>
  <c r="G41" i="2"/>
  <c r="C41" i="2"/>
  <c r="G40" i="2"/>
  <c r="C40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17" i="2"/>
  <c r="B17" i="2"/>
  <c r="D17" i="2"/>
  <c r="A17" i="2"/>
  <c r="H43" i="2"/>
  <c r="B43" i="2"/>
  <c r="D43" i="2"/>
  <c r="A43" i="2"/>
  <c r="H16" i="2"/>
  <c r="B16" i="2"/>
  <c r="D16" i="2"/>
  <c r="A16" i="2"/>
  <c r="H42" i="2"/>
  <c r="B42" i="2"/>
  <c r="D42" i="2"/>
  <c r="A42" i="2"/>
  <c r="H15" i="2"/>
  <c r="B15" i="2"/>
  <c r="D15" i="2"/>
  <c r="A15" i="2"/>
  <c r="H14" i="2"/>
  <c r="B14" i="2"/>
  <c r="D14" i="2"/>
  <c r="A14" i="2"/>
  <c r="H41" i="2"/>
  <c r="B41" i="2"/>
  <c r="D41" i="2"/>
  <c r="A41" i="2"/>
  <c r="H40" i="2"/>
  <c r="B40" i="2"/>
  <c r="D40" i="2"/>
  <c r="A40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Q58" i="1"/>
  <c r="F16" i="1"/>
  <c r="F17" i="1" s="1"/>
  <c r="C17" i="1"/>
  <c r="Q55" i="1"/>
  <c r="Q53" i="1"/>
  <c r="Q51" i="1"/>
  <c r="Q50" i="1"/>
  <c r="C7" i="1"/>
  <c r="E63" i="1"/>
  <c r="F63" i="1"/>
  <c r="C8" i="1"/>
  <c r="Q47" i="1"/>
  <c r="Q44" i="1"/>
  <c r="Q45" i="1"/>
  <c r="Q46" i="1"/>
  <c r="Q28" i="1"/>
  <c r="E18" i="2"/>
  <c r="E29" i="2"/>
  <c r="E38" i="2"/>
  <c r="E31" i="2"/>
  <c r="E39" i="2"/>
  <c r="E32" i="2"/>
  <c r="E22" i="2"/>
  <c r="E33" i="1"/>
  <c r="F33" i="1"/>
  <c r="G25" i="1"/>
  <c r="H25" i="1"/>
  <c r="E54" i="1"/>
  <c r="F54" i="1"/>
  <c r="E45" i="1"/>
  <c r="E35" i="1"/>
  <c r="F35" i="1"/>
  <c r="G35" i="1"/>
  <c r="H35" i="1"/>
  <c r="E50" i="1"/>
  <c r="F50" i="1"/>
  <c r="G39" i="1"/>
  <c r="H39" i="1"/>
  <c r="E62" i="1"/>
  <c r="F62" i="1"/>
  <c r="G62" i="1"/>
  <c r="K62" i="1"/>
  <c r="E53" i="1"/>
  <c r="E46" i="1"/>
  <c r="F46" i="1"/>
  <c r="E36" i="1"/>
  <c r="F36" i="1"/>
  <c r="G36" i="1"/>
  <c r="H36" i="1"/>
  <c r="E56" i="1"/>
  <c r="F56" i="1"/>
  <c r="G56" i="1"/>
  <c r="K56" i="1"/>
  <c r="G47" i="1"/>
  <c r="I47" i="1"/>
  <c r="E32" i="1"/>
  <c r="F32" i="1"/>
  <c r="G32" i="1"/>
  <c r="H32" i="1"/>
  <c r="E41" i="1"/>
  <c r="F41" i="1"/>
  <c r="E31" i="1"/>
  <c r="F31" i="1"/>
  <c r="E51" i="1"/>
  <c r="F51" i="1"/>
  <c r="E42" i="1"/>
  <c r="F42" i="1"/>
  <c r="E26" i="1"/>
  <c r="F26" i="1"/>
  <c r="E29" i="1"/>
  <c r="G54" i="1"/>
  <c r="K54" i="1"/>
  <c r="E52" i="1"/>
  <c r="F52" i="1"/>
  <c r="G52" i="1"/>
  <c r="K52" i="1"/>
  <c r="E21" i="1"/>
  <c r="F21" i="1"/>
  <c r="G21" i="1"/>
  <c r="H21" i="1"/>
  <c r="E28" i="1"/>
  <c r="F28" i="1"/>
  <c r="E30" i="1"/>
  <c r="F30" i="1"/>
  <c r="G30" i="1"/>
  <c r="H30" i="1"/>
  <c r="E27" i="1"/>
  <c r="F27" i="1"/>
  <c r="G27" i="1"/>
  <c r="H27" i="1"/>
  <c r="E22" i="1"/>
  <c r="F22" i="1"/>
  <c r="G22" i="1"/>
  <c r="H22" i="1"/>
  <c r="E39" i="1"/>
  <c r="F39" i="1"/>
  <c r="G63" i="1"/>
  <c r="K63" i="1"/>
  <c r="E44" i="1"/>
  <c r="F44" i="1"/>
  <c r="E49" i="1"/>
  <c r="F49" i="1"/>
  <c r="G49" i="1"/>
  <c r="I49" i="1"/>
  <c r="G46" i="1"/>
  <c r="I46" i="1"/>
  <c r="E34" i="1"/>
  <c r="F34" i="1"/>
  <c r="G31" i="1"/>
  <c r="H31" i="1"/>
  <c r="G26" i="1"/>
  <c r="H26" i="1"/>
  <c r="E55" i="1"/>
  <c r="F55" i="1"/>
  <c r="G55" i="1"/>
  <c r="K55" i="1"/>
  <c r="G59" i="1"/>
  <c r="K59" i="1"/>
  <c r="E38" i="1"/>
  <c r="F38" i="1"/>
  <c r="G38" i="1"/>
  <c r="H38" i="1"/>
  <c r="E24" i="1"/>
  <c r="F24" i="1"/>
  <c r="G24" i="1"/>
  <c r="H24" i="1"/>
  <c r="G41" i="1"/>
  <c r="H41" i="1"/>
  <c r="E60" i="1"/>
  <c r="F60" i="1"/>
  <c r="E37" i="1"/>
  <c r="F37" i="1"/>
  <c r="G37" i="1"/>
  <c r="H37" i="1"/>
  <c r="G50" i="1"/>
  <c r="J50" i="1"/>
  <c r="E40" i="1"/>
  <c r="E47" i="1"/>
  <c r="F47" i="1"/>
  <c r="E25" i="1"/>
  <c r="F25" i="1"/>
  <c r="G33" i="1"/>
  <c r="H33" i="1"/>
  <c r="E57" i="1"/>
  <c r="F57" i="1"/>
  <c r="G57" i="1"/>
  <c r="K57" i="1"/>
  <c r="G48" i="1"/>
  <c r="I48" i="1"/>
  <c r="G44" i="1"/>
  <c r="I44" i="1"/>
  <c r="G60" i="1"/>
  <c r="K60" i="1"/>
  <c r="E23" i="1"/>
  <c r="F23" i="1"/>
  <c r="G23" i="1"/>
  <c r="H23" i="1"/>
  <c r="G34" i="1"/>
  <c r="H34" i="1"/>
  <c r="G42" i="1"/>
  <c r="H42" i="1"/>
  <c r="E58" i="1"/>
  <c r="F58" i="1"/>
  <c r="G58" i="1"/>
  <c r="K58" i="1"/>
  <c r="G51" i="1"/>
  <c r="J51" i="1"/>
  <c r="E59" i="1"/>
  <c r="F59" i="1"/>
  <c r="E48" i="1"/>
  <c r="F48" i="1"/>
  <c r="E43" i="1"/>
  <c r="F43" i="1"/>
  <c r="G43" i="1"/>
  <c r="H43" i="1"/>
  <c r="E61" i="1"/>
  <c r="F61" i="1"/>
  <c r="G61" i="1"/>
  <c r="K61" i="1"/>
  <c r="E44" i="2"/>
  <c r="E37" i="2"/>
  <c r="E23" i="2"/>
  <c r="E45" i="2"/>
  <c r="E40" i="2"/>
  <c r="E46" i="2"/>
  <c r="E41" i="2"/>
  <c r="E35" i="2"/>
  <c r="E24" i="2"/>
  <c r="E21" i="2"/>
  <c r="E28" i="2"/>
  <c r="E27" i="2"/>
  <c r="E33" i="2"/>
  <c r="F40" i="1"/>
  <c r="G40" i="1"/>
  <c r="H40" i="1"/>
  <c r="E36" i="2"/>
  <c r="F53" i="1"/>
  <c r="G53" i="1"/>
  <c r="J53" i="1"/>
  <c r="E16" i="2"/>
  <c r="E30" i="2"/>
  <c r="E20" i="2"/>
  <c r="E19" i="2"/>
  <c r="E43" i="2"/>
  <c r="E14" i="2"/>
  <c r="E47" i="2"/>
  <c r="E17" i="2"/>
  <c r="E13" i="2"/>
  <c r="F29" i="1"/>
  <c r="G29" i="1"/>
  <c r="H29" i="1"/>
  <c r="E25" i="2"/>
  <c r="F45" i="1"/>
  <c r="G45" i="1"/>
  <c r="E11" i="2"/>
  <c r="E12" i="2"/>
  <c r="E42" i="2"/>
  <c r="E15" i="2"/>
  <c r="E34" i="2"/>
  <c r="E26" i="2"/>
  <c r="I45" i="1"/>
  <c r="C11" i="1"/>
  <c r="C12" i="1"/>
  <c r="O64" i="1" l="1"/>
  <c r="C16" i="1"/>
  <c r="D18" i="1" s="1"/>
  <c r="O62" i="1"/>
  <c r="O57" i="1"/>
  <c r="O22" i="1"/>
  <c r="O48" i="1"/>
  <c r="O35" i="1"/>
  <c r="O24" i="1"/>
  <c r="O61" i="1"/>
  <c r="O30" i="1"/>
  <c r="O49" i="1"/>
  <c r="O63" i="1"/>
  <c r="O58" i="1"/>
  <c r="O52" i="1"/>
  <c r="O29" i="1"/>
  <c r="O34" i="1"/>
  <c r="O44" i="1"/>
  <c r="O25" i="1"/>
  <c r="O51" i="1"/>
  <c r="O59" i="1"/>
  <c r="O28" i="1"/>
  <c r="O39" i="1"/>
  <c r="O32" i="1"/>
  <c r="O43" i="1"/>
  <c r="O33" i="1"/>
  <c r="O27" i="1"/>
  <c r="C15" i="1"/>
  <c r="O31" i="1"/>
  <c r="O37" i="1"/>
  <c r="O38" i="1"/>
  <c r="O47" i="1"/>
  <c r="O45" i="1"/>
  <c r="O41" i="1"/>
  <c r="O55" i="1"/>
  <c r="O40" i="1"/>
  <c r="O21" i="1"/>
  <c r="O42" i="1"/>
  <c r="O54" i="1"/>
  <c r="O26" i="1"/>
  <c r="O56" i="1"/>
  <c r="O46" i="1"/>
  <c r="O23" i="1"/>
  <c r="O53" i="1"/>
  <c r="O60" i="1"/>
  <c r="O36" i="1"/>
  <c r="O50" i="1"/>
  <c r="C18" i="1" l="1"/>
  <c r="F18" i="1"/>
  <c r="F19" i="1" s="1"/>
</calcChain>
</file>

<file path=xl/sharedStrings.xml><?xml version="1.0" encoding="utf-8"?>
<sst xmlns="http://schemas.openxmlformats.org/spreadsheetml/2006/main" count="427" uniqueCount="228">
  <si>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</si>
  <si>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</si>
  <si>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</si>
  <si>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</si>
  <si>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</si>
  <si>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</si>
  <si>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</si>
  <si>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</si>
  <si>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</si>
  <si>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</si>
  <si>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</si>
  <si>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</si>
  <si>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</si>
  <si>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</si>
  <si>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</si>
  <si>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</si>
  <si>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</si>
  <si>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</si>
  <si>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</si>
  <si>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</si>
  <si>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</si>
  <si>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</si>
  <si>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</si>
  <si>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</si>
  <si>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</si>
  <si>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</si>
  <si>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</si>
  <si>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</si>
  <si>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</si>
  <si>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4383</t>
  </si>
  <si>
    <t>pg</t>
  </si>
  <si>
    <t>BAV-M 39</t>
  </si>
  <si>
    <t>K</t>
  </si>
  <si>
    <t>BAV-M 59</t>
  </si>
  <si>
    <t>v</t>
  </si>
  <si>
    <t>Paschke A</t>
  </si>
  <si>
    <t>BBSAG Bull.101</t>
  </si>
  <si>
    <t>B</t>
  </si>
  <si>
    <t>EA/D</t>
  </si>
  <si>
    <t># of data points:</t>
  </si>
  <si>
    <t>AG Leo / gsc 1411-0896</t>
  </si>
  <si>
    <t>IBVS 5731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</si>
  <si>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</si>
  <si>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</si>
  <si>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</si>
  <si>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</si>
  <si>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</si>
  <si>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</si>
  <si>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</si>
  <si>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</si>
  <si>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</si>
  <si>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</si>
  <si>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</si>
  <si>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</si>
  <si>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IBVS 6029</t>
  </si>
  <si>
    <t>0,0008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</si>
  <si>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</si>
  <si>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</si>
  <si>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</si>
  <si>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</si>
  <si>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</si>
  <si>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</si>
  <si>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</si>
  <si>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</si>
  <si>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</si>
  <si>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</si>
  <si>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</si>
  <si>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</si>
  <si>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2420894.47 </t>
  </si>
  <si>
    <t> 31.01.1916 23:16 </t>
  </si>
  <si>
    <t> -0.10 </t>
  </si>
  <si>
    <t>P </t>
  </si>
  <si>
    <t> N.E.Kurochkin </t>
  </si>
  <si>
    <t> PZ 6.311 </t>
  </si>
  <si>
    <t>2424171.51 </t>
  </si>
  <si>
    <t> 21.01.1925 00:14 </t>
  </si>
  <si>
    <t> -0.21 </t>
  </si>
  <si>
    <t>2425348.37 </t>
  </si>
  <si>
    <t> 11.04.1928 20:52 </t>
  </si>
  <si>
    <t> -0.55 </t>
  </si>
  <si>
    <t>2425647.454 </t>
  </si>
  <si>
    <t> 04.02.1929 22:53 </t>
  </si>
  <si>
    <t> -0.002 </t>
  </si>
  <si>
    <t> H.Huth </t>
  </si>
  <si>
    <t> MVS 666 </t>
  </si>
  <si>
    <t>2426003.556 </t>
  </si>
  <si>
    <t> 27.01.1930 01:20 </t>
  </si>
  <si>
    <t> -0.112 </t>
  </si>
  <si>
    <t>2426417.487 </t>
  </si>
  <si>
    <t> 16.03.1931 23:41 </t>
  </si>
  <si>
    <t> -0.066 </t>
  </si>
  <si>
    <t>2426651.567 </t>
  </si>
  <si>
    <t> 06.11.1931 01:36 </t>
  </si>
  <si>
    <t> -0.068 </t>
  </si>
  <si>
    <t>2427133.315 </t>
  </si>
  <si>
    <t> 01.03.1933 19:33 </t>
  </si>
  <si>
    <t> -0.055 </t>
  </si>
  <si>
    <t> H.-U.Sandig </t>
  </si>
  <si>
    <t> AN 275.40 </t>
  </si>
  <si>
    <t>2427513.429 </t>
  </si>
  <si>
    <t> 16.03.1934 22:17 </t>
  </si>
  <si>
    <t> 0.100 </t>
  </si>
  <si>
    <t>2427530.360 </t>
  </si>
  <si>
    <t> 02.04.1934 20:38 </t>
  </si>
  <si>
    <t> 0.068 </t>
  </si>
  <si>
    <t>2427842.541 </t>
  </si>
  <si>
    <t> 09.02.1935 00:59 </t>
  </si>
  <si>
    <t> 0.139 </t>
  </si>
  <si>
    <t>2428164.686 </t>
  </si>
  <si>
    <t> 28.12.1935 04:27 </t>
  </si>
  <si>
    <t>2429009.365 </t>
  </si>
  <si>
    <t> 20.04.1938 20:45 </t>
  </si>
  <si>
    <t> -0.056 </t>
  </si>
  <si>
    <t>2430376.604 </t>
  </si>
  <si>
    <t> 17.01.1942 02:29 </t>
  </si>
  <si>
    <t> 0.006 </t>
  </si>
  <si>
    <t>2430780.354 </t>
  </si>
  <si>
    <t> 24.02.1943 20:29 </t>
  </si>
  <si>
    <t> 0.049 </t>
  </si>
  <si>
    <t>2433416.407 </t>
  </si>
  <si>
    <t> 14.05.1950 21:46 </t>
  </si>
  <si>
    <t> 0.131 </t>
  </si>
  <si>
    <t>2434471.376 </t>
  </si>
  <si>
    <t> 03.04.1953 21:01 </t>
  </si>
  <si>
    <t> 0.033 </t>
  </si>
  <si>
    <t>2435821.649 </t>
  </si>
  <si>
    <t> 14.12.1956 03:34 </t>
  </si>
  <si>
    <t> 0.092 </t>
  </si>
  <si>
    <t>2436279.551 </t>
  </si>
  <si>
    <t> 17.03.1958 01:13 </t>
  </si>
  <si>
    <t> 0.007 </t>
  </si>
  <si>
    <t>2436876.650 </t>
  </si>
  <si>
    <t> 04.11.1959 03:36 </t>
  </si>
  <si>
    <t> 0.026 </t>
  </si>
  <si>
    <t>2437368.467 </t>
  </si>
  <si>
    <t> 09.03.1961 23:12 </t>
  </si>
  <si>
    <t> -0.069 </t>
  </si>
  <si>
    <t>2437636.587 </t>
  </si>
  <si>
    <t> 03.12.1961 02:05 </t>
  </si>
  <si>
    <t> 0.043 </t>
  </si>
  <si>
    <t>2447990.383 </t>
  </si>
  <si>
    <t> 08.04.1990 21:11 </t>
  </si>
  <si>
    <t> -0.064 </t>
  </si>
  <si>
    <t> Moschner&amp;Kleikamp </t>
  </si>
  <si>
    <t>BAVM 59 </t>
  </si>
  <si>
    <t>2448682.49 </t>
  </si>
  <si>
    <t> 29.02.1992 23:45 </t>
  </si>
  <si>
    <t> -0.03 </t>
  </si>
  <si>
    <t>E </t>
  </si>
  <si>
    <t>?</t>
  </si>
  <si>
    <t> A.Paschke </t>
  </si>
  <si>
    <t> BBS 101 </t>
  </si>
  <si>
    <t>2449788.4730 </t>
  </si>
  <si>
    <t> 11.03.1995 23:21 </t>
  </si>
  <si>
    <t> 0.0016 </t>
  </si>
  <si>
    <t>o</t>
  </si>
  <si>
    <t> F.Agerer </t>
  </si>
  <si>
    <t>BAVM 91 </t>
  </si>
  <si>
    <t>2452000.46 </t>
  </si>
  <si>
    <t> 31.03.2001 23:02 </t>
  </si>
  <si>
    <t> 0.08 </t>
  </si>
  <si>
    <t> R.Diethelm </t>
  </si>
  <si>
    <t> BBS 125 </t>
  </si>
  <si>
    <t>2453055.440 </t>
  </si>
  <si>
    <t> 19.02.2004 22:33 </t>
  </si>
  <si>
    <t> -0.007 </t>
  </si>
  <si>
    <t>V </t>
  </si>
  <si>
    <t> R.Meyer </t>
  </si>
  <si>
    <t>BAVM 171 </t>
  </si>
  <si>
    <t>2453815.4502 </t>
  </si>
  <si>
    <t> 20.03.2006 22:48 </t>
  </si>
  <si>
    <t> 0.0837 </t>
  </si>
  <si>
    <t>C </t>
  </si>
  <si>
    <t>-I</t>
  </si>
  <si>
    <t>BAVM 178 </t>
  </si>
  <si>
    <t>2453849.3757 </t>
  </si>
  <si>
    <t> 23.04.2006 21:01 </t>
  </si>
  <si>
    <t>8017</t>
  </si>
  <si>
    <t> 0.0842 </t>
  </si>
  <si>
    <t>IBVS 5713 </t>
  </si>
  <si>
    <t>2454212.3794 </t>
  </si>
  <si>
    <t> 21.04.2007 21:06 </t>
  </si>
  <si>
    <t>8124</t>
  </si>
  <si>
    <t> 0.0906 </t>
  </si>
  <si>
    <t> G.Monninger </t>
  </si>
  <si>
    <t>BAVM 203 </t>
  </si>
  <si>
    <t>2454507.5424 </t>
  </si>
  <si>
    <t> 11.02.2008 01:01 </t>
  </si>
  <si>
    <t>8211</t>
  </si>
  <si>
    <t> 0.1063 </t>
  </si>
  <si>
    <t> U.Schmidt </t>
  </si>
  <si>
    <t>BAVM 201 </t>
  </si>
  <si>
    <t>2455230.1656 </t>
  </si>
  <si>
    <t> 02.02.2010 15:58 </t>
  </si>
  <si>
    <t>8424</t>
  </si>
  <si>
    <t> 0.1274 </t>
  </si>
  <si>
    <t>Rc</t>
  </si>
  <si>
    <t> K.Shiokawa </t>
  </si>
  <si>
    <t>VSB 51 </t>
  </si>
  <si>
    <t>2455243.7350 </t>
  </si>
  <si>
    <t> 16.02.2010 05:38 </t>
  </si>
  <si>
    <t>8428</t>
  </si>
  <si>
    <t> 0.1269 </t>
  </si>
  <si>
    <t>IBVS 5945 </t>
  </si>
  <si>
    <t>2455286.1159 </t>
  </si>
  <si>
    <t> 30.03.2010 14:46 </t>
  </si>
  <si>
    <t>8440.5</t>
  </si>
  <si>
    <t> 0.1015 </t>
  </si>
  <si>
    <t>2455576.2081 </t>
  </si>
  <si>
    <t> 14.01.2011 16:59 </t>
  </si>
  <si>
    <t>8526</t>
  </si>
  <si>
    <t> 0.1352 </t>
  </si>
  <si>
    <t>VSB 53 </t>
  </si>
  <si>
    <t>2456003.7160 </t>
  </si>
  <si>
    <t> 17.03.2012 05:11 </t>
  </si>
  <si>
    <t>8652</t>
  </si>
  <si>
    <t> 0.1883 </t>
  </si>
  <si>
    <t>IBVS 6029 </t>
  </si>
  <si>
    <t>2456285.2527 </t>
  </si>
  <si>
    <t> 23.12.2012 18:03 </t>
  </si>
  <si>
    <t>8735</t>
  </si>
  <si>
    <t> 0.1477 </t>
  </si>
  <si>
    <t> H.Itoh </t>
  </si>
  <si>
    <t>VSB 55 </t>
  </si>
  <si>
    <t>II</t>
  </si>
  <si>
    <t>IBVS 6196</t>
  </si>
  <si>
    <t>VSB-64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</si>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</sst>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2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 wrapText="1"/>
    </xf>
    <xf numFmtId="0" fontId="16" fillId="0" borderId="0" xfId="43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Leo - O-C Diagr.</a:t>
            </a:r>
          </a:p>
        </c:rich>
      </c:tx>
      <c:layout>
        <c:manualLayout>
          <c:xMode val="edge"/>
          <c:yMode val="edge"/>
          <c:x val="0.360958222763590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723926380368099"/>
          <c:w val="0.791898293440473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-9.5893999998224899E-2</c:v>
                </c:pt>
                <c:pt idx="1">
                  <c:v>-0.20896200000061071</c:v>
                </c:pt>
                <c:pt idx="2">
                  <c:v>-0.54576799999995274</c:v>
                </c:pt>
                <c:pt idx="3">
                  <c:v>-1.5919999968900811E-3</c:v>
                </c:pt>
                <c:pt idx="4">
                  <c:v>-0.1118819999974221</c:v>
                </c:pt>
                <c:pt idx="5">
                  <c:v>-6.5637999996397411E-2</c:v>
                </c:pt>
                <c:pt idx="6">
                  <c:v>-6.7999999999301508E-2</c:v>
                </c:pt>
                <c:pt idx="7">
                  <c:v>0</c:v>
                </c:pt>
                <c:pt idx="8">
                  <c:v>-5.4715999998734333E-2</c:v>
                </c:pt>
                <c:pt idx="9">
                  <c:v>9.9508000002970221E-2</c:v>
                </c:pt>
                <c:pt idx="10">
                  <c:v>6.8018000001757173E-2</c:v>
                </c:pt>
                <c:pt idx="11">
                  <c:v>0.1392020000021148</c:v>
                </c:pt>
                <c:pt idx="12">
                  <c:v>-3.1079999971552752E-3</c:v>
                </c:pt>
                <c:pt idx="13">
                  <c:v>-5.6109999997715931E-2</c:v>
                </c:pt>
                <c:pt idx="14">
                  <c:v>6.1960000020917505E-3</c:v>
                </c:pt>
                <c:pt idx="15">
                  <c:v>4.8934000002191169E-2</c:v>
                </c:pt>
                <c:pt idx="16">
                  <c:v>0.13098800000443589</c:v>
                </c:pt>
                <c:pt idx="17">
                  <c:v>3.3109999996668193E-2</c:v>
                </c:pt>
                <c:pt idx="18">
                  <c:v>9.1906000001472421E-2</c:v>
                </c:pt>
                <c:pt idx="19">
                  <c:v>6.6759999972418882E-3</c:v>
                </c:pt>
                <c:pt idx="20">
                  <c:v>2.6028000000223983E-2</c:v>
                </c:pt>
                <c:pt idx="21">
                  <c:v>-6.9181999999273103E-2</c:v>
                </c:pt>
                <c:pt idx="22">
                  <c:v>4.3476000006194226E-2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4-49F6-93FE-2832AFD60F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3">
                  <c:v>-1.5457999994396232E-2</c:v>
                </c:pt>
                <c:pt idx="24">
                  <c:v>-6.4419999995152466E-2</c:v>
                </c:pt>
                <c:pt idx="25">
                  <c:v>-2.7011999998649117E-2</c:v>
                </c:pt>
                <c:pt idx="26">
                  <c:v>1.640000002225861E-3</c:v>
                </c:pt>
                <c:pt idx="27">
                  <c:v>7.99440000046161E-2</c:v>
                </c:pt>
                <c:pt idx="28">
                  <c:v>-6.9339999899966642E-3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4-49F6-93FE-2832AFD60F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8.371400000032736E-2</c:v>
                </c:pt>
                <c:pt idx="30">
                  <c:v>8.423400000174297E-2</c:v>
                </c:pt>
                <c:pt idx="32">
                  <c:v>0.10632199999963632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4-49F6-93FE-2832AFD60F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1">
                  <c:v>9.0648000004875939E-2</c:v>
                </c:pt>
                <c:pt idx="33">
                  <c:v>0.12744800000655232</c:v>
                </c:pt>
                <c:pt idx="34">
                  <c:v>0.12685600000259001</c:v>
                </c:pt>
                <c:pt idx="35">
                  <c:v>0.10153100000025006</c:v>
                </c:pt>
                <c:pt idx="36">
                  <c:v>0.135152000002563</c:v>
                </c:pt>
                <c:pt idx="37">
                  <c:v>0.14390400000411319</c:v>
                </c:pt>
                <c:pt idx="38">
                  <c:v>0.18830400000297232</c:v>
                </c:pt>
                <c:pt idx="39">
                  <c:v>0.14767000000574626</c:v>
                </c:pt>
                <c:pt idx="40">
                  <c:v>0.16628400000627153</c:v>
                </c:pt>
                <c:pt idx="41">
                  <c:v>0.18155600000318373</c:v>
                </c:pt>
                <c:pt idx="42">
                  <c:v>0.1861780000035651</c:v>
                </c:pt>
                <c:pt idx="43">
                  <c:v>0.2243739999976242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4-49F6-93FE-2832AFD60F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4-49F6-93FE-2832AFD60F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4-49F6-93FE-2832AFD60F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4-49F6-93FE-2832AFD60F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-0.71008385259174189</c:v>
                </c:pt>
                <c:pt idx="1">
                  <c:v>-0.63074646969450687</c:v>
                </c:pt>
                <c:pt idx="2">
                  <c:v>-0.60224743049643181</c:v>
                </c:pt>
                <c:pt idx="3">
                  <c:v>-0.59502000845196323</c:v>
                </c:pt>
                <c:pt idx="4">
                  <c:v>-0.58639637987617677</c:v>
                </c:pt>
                <c:pt idx="5">
                  <c:v>-0.57637654476907263</c:v>
                </c:pt>
                <c:pt idx="6">
                  <c:v>-0.57070958884784151</c:v>
                </c:pt>
                <c:pt idx="7">
                  <c:v>-0.57070958884784151</c:v>
                </c:pt>
                <c:pt idx="8">
                  <c:v>-0.55904715782153991</c:v>
                </c:pt>
                <c:pt idx="9">
                  <c:v>-0.54984862067403439</c:v>
                </c:pt>
                <c:pt idx="10">
                  <c:v>-0.54943797169423503</c:v>
                </c:pt>
                <c:pt idx="11">
                  <c:v>-0.54188203046592687</c:v>
                </c:pt>
                <c:pt idx="12">
                  <c:v>-0.53407969984973924</c:v>
                </c:pt>
                <c:pt idx="13">
                  <c:v>-0.51362938065573138</c:v>
                </c:pt>
                <c:pt idx="14">
                  <c:v>-0.48053107288390356</c:v>
                </c:pt>
                <c:pt idx="15">
                  <c:v>-0.47075762716467895</c:v>
                </c:pt>
                <c:pt idx="16">
                  <c:v>-0.40694277570385951</c:v>
                </c:pt>
                <c:pt idx="17">
                  <c:v>-0.38140040916033974</c:v>
                </c:pt>
                <c:pt idx="18">
                  <c:v>-0.34871275036831123</c:v>
                </c:pt>
                <c:pt idx="19">
                  <c:v>-0.33762522791372873</c:v>
                </c:pt>
                <c:pt idx="20">
                  <c:v>-0.32317038382479146</c:v>
                </c:pt>
                <c:pt idx="21">
                  <c:v>-0.31126156341061023</c:v>
                </c:pt>
                <c:pt idx="22">
                  <c:v>-0.30477330952978043</c:v>
                </c:pt>
                <c:pt idx="23">
                  <c:v>-0.11727098535339581</c:v>
                </c:pt>
                <c:pt idx="24">
                  <c:v>-5.411317226025536E-2</c:v>
                </c:pt>
                <c:pt idx="25">
                  <c:v>-3.7358693884441685E-2</c:v>
                </c:pt>
                <c:pt idx="26">
                  <c:v>-1.0584380401523874E-2</c:v>
                </c:pt>
                <c:pt idx="27">
                  <c:v>4.2964246564311748E-2</c:v>
                </c:pt>
                <c:pt idx="28">
                  <c:v>6.850661310783146E-2</c:v>
                </c:pt>
                <c:pt idx="29">
                  <c:v>8.6903687402842489E-2</c:v>
                </c:pt>
                <c:pt idx="30">
                  <c:v>8.7724985362441221E-2</c:v>
                </c:pt>
                <c:pt idx="31">
                  <c:v>9.6512873530147369E-2</c:v>
                </c:pt>
                <c:pt idx="32">
                  <c:v>0.10365816577865616</c:v>
                </c:pt>
                <c:pt idx="33">
                  <c:v>0.12115181231810856</c:v>
                </c:pt>
                <c:pt idx="34">
                  <c:v>0.12148033150194804</c:v>
                </c:pt>
                <c:pt idx="35">
                  <c:v>0.1225069539514464</c:v>
                </c:pt>
                <c:pt idx="36">
                  <c:v>0.12952905150601535</c:v>
                </c:pt>
                <c:pt idx="37">
                  <c:v>0.13987740579695906</c:v>
                </c:pt>
                <c:pt idx="38">
                  <c:v>0.13987740579695906</c:v>
                </c:pt>
                <c:pt idx="39">
                  <c:v>0.14669417886162839</c:v>
                </c:pt>
                <c:pt idx="40">
                  <c:v>0.17601451601930218</c:v>
                </c:pt>
                <c:pt idx="41">
                  <c:v>0.18307767847185097</c:v>
                </c:pt>
                <c:pt idx="42">
                  <c:v>0.1839811062274096</c:v>
                </c:pt>
                <c:pt idx="43">
                  <c:v>0.22898823441341865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4-49F6-93FE-2832AFD60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8720"/>
        <c:axId val="1"/>
      </c:scatterChart>
      <c:valAx>
        <c:axId val="66062872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044658091771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1272555019019"/>
          <c:y val="0.92024539877300615"/>
          <c:w val="0.769798775153105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Leo - O-C Diagr.</a:t>
            </a:r>
          </a:p>
        </c:rich>
      </c:tx>
      <c:layout>
        <c:manualLayout>
          <c:xMode val="edge"/>
          <c:yMode val="edge"/>
          <c:x val="0.3602945036282229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2071858190072"/>
          <c:y val="0.14678942920199375"/>
          <c:w val="0.797794833728416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-9.5893999998224899E-2</c:v>
                </c:pt>
                <c:pt idx="1">
                  <c:v>-0.20896200000061071</c:v>
                </c:pt>
                <c:pt idx="2">
                  <c:v>-0.54576799999995274</c:v>
                </c:pt>
                <c:pt idx="3">
                  <c:v>-1.5919999968900811E-3</c:v>
                </c:pt>
                <c:pt idx="4">
                  <c:v>-0.1118819999974221</c:v>
                </c:pt>
                <c:pt idx="5">
                  <c:v>-6.5637999996397411E-2</c:v>
                </c:pt>
                <c:pt idx="6">
                  <c:v>-6.7999999999301508E-2</c:v>
                </c:pt>
                <c:pt idx="7">
                  <c:v>0</c:v>
                </c:pt>
                <c:pt idx="8">
                  <c:v>-5.4715999998734333E-2</c:v>
                </c:pt>
                <c:pt idx="9">
                  <c:v>9.9508000002970221E-2</c:v>
                </c:pt>
                <c:pt idx="10">
                  <c:v>6.8018000001757173E-2</c:v>
                </c:pt>
                <c:pt idx="11">
                  <c:v>0.1392020000021148</c:v>
                </c:pt>
                <c:pt idx="12">
                  <c:v>-3.1079999971552752E-3</c:v>
                </c:pt>
                <c:pt idx="13">
                  <c:v>-5.6109999997715931E-2</c:v>
                </c:pt>
                <c:pt idx="14">
                  <c:v>6.1960000020917505E-3</c:v>
                </c:pt>
                <c:pt idx="15">
                  <c:v>4.8934000002191169E-2</c:v>
                </c:pt>
                <c:pt idx="16">
                  <c:v>0.13098800000443589</c:v>
                </c:pt>
                <c:pt idx="17">
                  <c:v>3.3109999996668193E-2</c:v>
                </c:pt>
                <c:pt idx="18">
                  <c:v>9.1906000001472421E-2</c:v>
                </c:pt>
                <c:pt idx="19">
                  <c:v>6.6759999972418882E-3</c:v>
                </c:pt>
                <c:pt idx="20">
                  <c:v>2.6028000000223983E-2</c:v>
                </c:pt>
                <c:pt idx="21">
                  <c:v>-6.9181999999273103E-2</c:v>
                </c:pt>
                <c:pt idx="22">
                  <c:v>4.3476000006194226E-2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7-454F-A328-0D9C9B0C08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3">
                  <c:v>-1.5457999994396232E-2</c:v>
                </c:pt>
                <c:pt idx="24">
                  <c:v>-6.4419999995152466E-2</c:v>
                </c:pt>
                <c:pt idx="25">
                  <c:v>-2.7011999998649117E-2</c:v>
                </c:pt>
                <c:pt idx="26">
                  <c:v>1.640000002225861E-3</c:v>
                </c:pt>
                <c:pt idx="27">
                  <c:v>7.99440000046161E-2</c:v>
                </c:pt>
                <c:pt idx="28">
                  <c:v>-6.9339999899966642E-3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7-454F-A328-0D9C9B0C08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8.371400000032736E-2</c:v>
                </c:pt>
                <c:pt idx="30">
                  <c:v>8.423400000174297E-2</c:v>
                </c:pt>
                <c:pt idx="32">
                  <c:v>0.10632199999963632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7-454F-A328-0D9C9B0C08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1">
                  <c:v>9.0648000004875939E-2</c:v>
                </c:pt>
                <c:pt idx="33">
                  <c:v>0.12744800000655232</c:v>
                </c:pt>
                <c:pt idx="34">
                  <c:v>0.12685600000259001</c:v>
                </c:pt>
                <c:pt idx="35">
                  <c:v>0.10153100000025006</c:v>
                </c:pt>
                <c:pt idx="36">
                  <c:v>0.135152000002563</c:v>
                </c:pt>
                <c:pt idx="37">
                  <c:v>0.14390400000411319</c:v>
                </c:pt>
                <c:pt idx="38">
                  <c:v>0.18830400000297232</c:v>
                </c:pt>
                <c:pt idx="39">
                  <c:v>0.14767000000574626</c:v>
                </c:pt>
                <c:pt idx="40">
                  <c:v>0.16628400000627153</c:v>
                </c:pt>
                <c:pt idx="41">
                  <c:v>0.18155600000318373</c:v>
                </c:pt>
                <c:pt idx="42">
                  <c:v>0.1861780000035651</c:v>
                </c:pt>
                <c:pt idx="43">
                  <c:v>0.2243739999976242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7-454F-A328-0D9C9B0C08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E7-454F-A328-0D9C9B0C08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E7-454F-A328-0D9C9B0C08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25">
                    <c:v>0.02</c:v>
                  </c:pt>
                  <c:pt idx="26">
                    <c:v>5.0000000000000001E-4</c:v>
                  </c:pt>
                  <c:pt idx="29">
                    <c:v>1.4E-3</c:v>
                  </c:pt>
                  <c:pt idx="30">
                    <c:v>6.9999999999999999E-4</c:v>
                  </c:pt>
                  <c:pt idx="32">
                    <c:v>3.7000000000000002E-3</c:v>
                  </c:pt>
                  <c:pt idx="34">
                    <c:v>5.9999999999999995E-4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0</c:v>
                  </c:pt>
                  <c:pt idx="42">
                    <c:v>3.8E-3</c:v>
                  </c:pt>
                  <c:pt idx="4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E7-454F-A328-0D9C9B0C08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-1697</c:v>
                </c:pt>
                <c:pt idx="1">
                  <c:v>-731</c:v>
                </c:pt>
                <c:pt idx="2">
                  <c:v>-384</c:v>
                </c:pt>
                <c:pt idx="3">
                  <c:v>-296</c:v>
                </c:pt>
                <c:pt idx="4">
                  <c:v>-191</c:v>
                </c:pt>
                <c:pt idx="5">
                  <c:v>-69</c:v>
                </c:pt>
                <c:pt idx="6">
                  <c:v>0</c:v>
                </c:pt>
                <c:pt idx="7">
                  <c:v>0</c:v>
                </c:pt>
                <c:pt idx="8">
                  <c:v>142</c:v>
                </c:pt>
                <c:pt idx="9">
                  <c:v>254</c:v>
                </c:pt>
                <c:pt idx="10">
                  <c:v>259</c:v>
                </c:pt>
                <c:pt idx="11">
                  <c:v>351</c:v>
                </c:pt>
                <c:pt idx="12">
                  <c:v>446</c:v>
                </c:pt>
                <c:pt idx="13">
                  <c:v>695</c:v>
                </c:pt>
                <c:pt idx="14">
                  <c:v>1098</c:v>
                </c:pt>
                <c:pt idx="15">
                  <c:v>1217</c:v>
                </c:pt>
                <c:pt idx="16">
                  <c:v>1994</c:v>
                </c:pt>
                <c:pt idx="17">
                  <c:v>2305</c:v>
                </c:pt>
                <c:pt idx="18">
                  <c:v>2703</c:v>
                </c:pt>
                <c:pt idx="19">
                  <c:v>2838</c:v>
                </c:pt>
                <c:pt idx="20">
                  <c:v>3014</c:v>
                </c:pt>
                <c:pt idx="21">
                  <c:v>3159</c:v>
                </c:pt>
                <c:pt idx="22">
                  <c:v>3238</c:v>
                </c:pt>
                <c:pt idx="23">
                  <c:v>5521</c:v>
                </c:pt>
                <c:pt idx="24">
                  <c:v>6290</c:v>
                </c:pt>
                <c:pt idx="25">
                  <c:v>6494</c:v>
                </c:pt>
                <c:pt idx="26">
                  <c:v>6820</c:v>
                </c:pt>
                <c:pt idx="27">
                  <c:v>7472</c:v>
                </c:pt>
                <c:pt idx="28">
                  <c:v>7783</c:v>
                </c:pt>
                <c:pt idx="29">
                  <c:v>8007</c:v>
                </c:pt>
                <c:pt idx="30">
                  <c:v>8017</c:v>
                </c:pt>
                <c:pt idx="31">
                  <c:v>8124</c:v>
                </c:pt>
                <c:pt idx="32">
                  <c:v>8211</c:v>
                </c:pt>
                <c:pt idx="33">
                  <c:v>8424</c:v>
                </c:pt>
                <c:pt idx="34">
                  <c:v>8428</c:v>
                </c:pt>
                <c:pt idx="35">
                  <c:v>8440.5</c:v>
                </c:pt>
                <c:pt idx="36">
                  <c:v>8526</c:v>
                </c:pt>
                <c:pt idx="37">
                  <c:v>8652</c:v>
                </c:pt>
                <c:pt idx="38">
                  <c:v>8652</c:v>
                </c:pt>
                <c:pt idx="39">
                  <c:v>8735</c:v>
                </c:pt>
                <c:pt idx="40">
                  <c:v>9092</c:v>
                </c:pt>
                <c:pt idx="41">
                  <c:v>9178</c:v>
                </c:pt>
                <c:pt idx="42">
                  <c:v>9189</c:v>
                </c:pt>
                <c:pt idx="43">
                  <c:v>9737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-0.71008385259174189</c:v>
                </c:pt>
                <c:pt idx="1">
                  <c:v>-0.63074646969450687</c:v>
                </c:pt>
                <c:pt idx="2">
                  <c:v>-0.60224743049643181</c:v>
                </c:pt>
                <c:pt idx="3">
                  <c:v>-0.59502000845196323</c:v>
                </c:pt>
                <c:pt idx="4">
                  <c:v>-0.58639637987617677</c:v>
                </c:pt>
                <c:pt idx="5">
                  <c:v>-0.57637654476907263</c:v>
                </c:pt>
                <c:pt idx="6">
                  <c:v>-0.57070958884784151</c:v>
                </c:pt>
                <c:pt idx="7">
                  <c:v>-0.57070958884784151</c:v>
                </c:pt>
                <c:pt idx="8">
                  <c:v>-0.55904715782153991</c:v>
                </c:pt>
                <c:pt idx="9">
                  <c:v>-0.54984862067403439</c:v>
                </c:pt>
                <c:pt idx="10">
                  <c:v>-0.54943797169423503</c:v>
                </c:pt>
                <c:pt idx="11">
                  <c:v>-0.54188203046592687</c:v>
                </c:pt>
                <c:pt idx="12">
                  <c:v>-0.53407969984973924</c:v>
                </c:pt>
                <c:pt idx="13">
                  <c:v>-0.51362938065573138</c:v>
                </c:pt>
                <c:pt idx="14">
                  <c:v>-0.48053107288390356</c:v>
                </c:pt>
                <c:pt idx="15">
                  <c:v>-0.47075762716467895</c:v>
                </c:pt>
                <c:pt idx="16">
                  <c:v>-0.40694277570385951</c:v>
                </c:pt>
                <c:pt idx="17">
                  <c:v>-0.38140040916033974</c:v>
                </c:pt>
                <c:pt idx="18">
                  <c:v>-0.34871275036831123</c:v>
                </c:pt>
                <c:pt idx="19">
                  <c:v>-0.33762522791372873</c:v>
                </c:pt>
                <c:pt idx="20">
                  <c:v>-0.32317038382479146</c:v>
                </c:pt>
                <c:pt idx="21">
                  <c:v>-0.31126156341061023</c:v>
                </c:pt>
                <c:pt idx="22">
                  <c:v>-0.30477330952978043</c:v>
                </c:pt>
                <c:pt idx="23">
                  <c:v>-0.11727098535339581</c:v>
                </c:pt>
                <c:pt idx="24">
                  <c:v>-5.411317226025536E-2</c:v>
                </c:pt>
                <c:pt idx="25">
                  <c:v>-3.7358693884441685E-2</c:v>
                </c:pt>
                <c:pt idx="26">
                  <c:v>-1.0584380401523874E-2</c:v>
                </c:pt>
                <c:pt idx="27">
                  <c:v>4.2964246564311748E-2</c:v>
                </c:pt>
                <c:pt idx="28">
                  <c:v>6.850661310783146E-2</c:v>
                </c:pt>
                <c:pt idx="29">
                  <c:v>8.6903687402842489E-2</c:v>
                </c:pt>
                <c:pt idx="30">
                  <c:v>8.7724985362441221E-2</c:v>
                </c:pt>
                <c:pt idx="31">
                  <c:v>9.6512873530147369E-2</c:v>
                </c:pt>
                <c:pt idx="32">
                  <c:v>0.10365816577865616</c:v>
                </c:pt>
                <c:pt idx="33">
                  <c:v>0.12115181231810856</c:v>
                </c:pt>
                <c:pt idx="34">
                  <c:v>0.12148033150194804</c:v>
                </c:pt>
                <c:pt idx="35">
                  <c:v>0.1225069539514464</c:v>
                </c:pt>
                <c:pt idx="36">
                  <c:v>0.12952905150601535</c:v>
                </c:pt>
                <c:pt idx="37">
                  <c:v>0.13987740579695906</c:v>
                </c:pt>
                <c:pt idx="38">
                  <c:v>0.13987740579695906</c:v>
                </c:pt>
                <c:pt idx="39">
                  <c:v>0.14669417886162839</c:v>
                </c:pt>
                <c:pt idx="40">
                  <c:v>0.17601451601930218</c:v>
                </c:pt>
                <c:pt idx="41">
                  <c:v>0.18307767847185097</c:v>
                </c:pt>
                <c:pt idx="42">
                  <c:v>0.1839811062274096</c:v>
                </c:pt>
                <c:pt idx="43">
                  <c:v>0.22898823441341865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E7-454F-A328-0D9C9B0C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6848"/>
        <c:axId val="1"/>
      </c:scatterChart>
      <c:valAx>
        <c:axId val="64003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27389223405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088235294117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4136946117027"/>
          <c:y val="0.9204921861831491"/>
          <c:w val="0.7683831249035046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104775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177796A-2AC0-3FFE-15B6-FE7605656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24</xdr:col>
      <xdr:colOff>419100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3D2AC8B-60A0-D7A8-502B-817FBD70F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71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91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72"/>
  <sheetViews>
    <sheetView tabSelected="1" workbookViewId="0">
      <pane xSplit="5" ySplit="19" topLeftCell="F53" activePane="bottomRight" state="frozen"/>
      <selection pane="topRight" activeCell="F1" sqref="F1"/>
      <selection pane="bottomLeft" activeCell="A20" sqref="A20"/>
      <selection pane="bottomRight" activeCell="E11" sqref="E11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s="9" t="s">
        <v>38</v>
      </c>
      <c r="C2" s="8"/>
    </row>
    <row r="3" spans="1:6" ht="13.5" thickBot="1" x14ac:dyDescent="0.25"/>
    <row r="4" spans="1:6" ht="14.25" thickTop="1" thickBot="1" x14ac:dyDescent="0.25">
      <c r="A4" s="5" t="s">
        <v>1</v>
      </c>
      <c r="C4" s="2">
        <v>26651.634999999998</v>
      </c>
      <c r="D4" s="3">
        <v>3.3924979999999998</v>
      </c>
    </row>
    <row r="5" spans="1:6" ht="13.5" thickTop="1" x14ac:dyDescent="0.2">
      <c r="A5" s="21" t="s">
        <v>44</v>
      </c>
      <c r="B5" s="10"/>
      <c r="C5" s="22">
        <v>-9.5</v>
      </c>
      <c r="D5" s="10" t="s">
        <v>45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26651.634999999998</v>
      </c>
    </row>
    <row r="8" spans="1:6" x14ac:dyDescent="0.2">
      <c r="A8" t="s">
        <v>4</v>
      </c>
      <c r="C8">
        <f>+D4</f>
        <v>3.3924979999999998</v>
      </c>
    </row>
    <row r="9" spans="1:6" x14ac:dyDescent="0.2">
      <c r="A9" s="36" t="s">
        <v>49</v>
      </c>
      <c r="B9" s="37">
        <v>45</v>
      </c>
      <c r="C9" s="25" t="str">
        <f>"F"&amp;B9</f>
        <v>F45</v>
      </c>
      <c r="D9" s="26" t="str">
        <f>"G"&amp;B9</f>
        <v>G45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3">
        <f ca="1">INTERCEPT(INDIRECT($D$9):G992,INDIRECT($C$9):F992)</f>
        <v>-0.57070958884784151</v>
      </c>
      <c r="D11" s="24"/>
      <c r="E11" s="10"/>
    </row>
    <row r="12" spans="1:6" x14ac:dyDescent="0.2">
      <c r="A12" s="10" t="s">
        <v>18</v>
      </c>
      <c r="B12" s="10"/>
      <c r="C12" s="23">
        <f ca="1">SLOPE(INDIRECT($D$9):G992,INDIRECT($C$9):F992)</f>
        <v>8.2129795959870618E-5</v>
      </c>
      <c r="D12" s="24"/>
      <c r="E12" s="10"/>
    </row>
    <row r="13" spans="1:6" x14ac:dyDescent="0.2">
      <c r="A13" s="10" t="s">
        <v>20</v>
      </c>
      <c r="B13" s="10"/>
      <c r="C13" s="24" t="s">
        <v>15</v>
      </c>
    </row>
    <row r="14" spans="1:6" x14ac:dyDescent="0.2">
      <c r="A14" s="10"/>
      <c r="B14" s="10"/>
      <c r="C14" s="10"/>
    </row>
    <row r="15" spans="1:6" x14ac:dyDescent="0.2">
      <c r="A15" s="27" t="s">
        <v>19</v>
      </c>
      <c r="B15" s="10"/>
      <c r="C15" s="28">
        <f ca="1">(C7+C11)+(C8+C12)*INT(MAX(F21:F3533))</f>
        <v>59684.617014234413</v>
      </c>
      <c r="E15" s="29" t="s">
        <v>52</v>
      </c>
      <c r="F15" s="22">
        <v>1</v>
      </c>
    </row>
    <row r="16" spans="1:6" x14ac:dyDescent="0.2">
      <c r="A16" s="31" t="s">
        <v>5</v>
      </c>
      <c r="B16" s="10"/>
      <c r="C16" s="32">
        <f ca="1">+C8+C12</f>
        <v>3.3925801297959595</v>
      </c>
      <c r="E16" s="29" t="s">
        <v>46</v>
      </c>
      <c r="F16" s="30">
        <f ca="1">NOW()+15018.5+$C$5/24</f>
        <v>60162.845171759254</v>
      </c>
    </row>
    <row r="17" spans="1:17" ht="13.5" thickBot="1" x14ac:dyDescent="0.25">
      <c r="A17" s="29" t="s">
        <v>39</v>
      </c>
      <c r="B17" s="10"/>
      <c r="C17" s="10">
        <f>COUNT(C21:C2191)</f>
        <v>44</v>
      </c>
      <c r="E17" s="29" t="s">
        <v>53</v>
      </c>
      <c r="F17" s="30">
        <f ca="1">ROUND(2*(F16-$C$7)/$C$8,0)/2+F15</f>
        <v>9879</v>
      </c>
    </row>
    <row r="18" spans="1:17" ht="14.25" thickTop="1" thickBot="1" x14ac:dyDescent="0.25">
      <c r="A18" s="31" t="s">
        <v>6</v>
      </c>
      <c r="B18" s="10"/>
      <c r="C18" s="34">
        <f ca="1">+C15</f>
        <v>59684.617014234413</v>
      </c>
      <c r="D18" s="35">
        <f ca="1">+C16</f>
        <v>3.3925801297959595</v>
      </c>
      <c r="E18" s="29" t="s">
        <v>47</v>
      </c>
      <c r="F18" s="26">
        <f ca="1">ROUND(2*(F16-$C$15)/$C$16,0)/2+F15</f>
        <v>142</v>
      </c>
    </row>
    <row r="19" spans="1:17" ht="13.5" thickTop="1" x14ac:dyDescent="0.2">
      <c r="E19" s="29" t="s">
        <v>48</v>
      </c>
      <c r="F19" s="33">
        <f ca="1">+$C$15+$C$16*F18-15018.5-$C$5/24</f>
        <v>45148.259225998772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65</v>
      </c>
      <c r="J20" s="7" t="s">
        <v>60</v>
      </c>
      <c r="K20" s="7" t="s">
        <v>58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s="12" customFormat="1" ht="12.75" customHeight="1" x14ac:dyDescent="0.2">
      <c r="A21" s="54" t="s">
        <v>73</v>
      </c>
      <c r="B21" s="56" t="s">
        <v>43</v>
      </c>
      <c r="C21" s="55">
        <v>20894.47</v>
      </c>
      <c r="D21" s="13"/>
      <c r="E21" s="38">
        <f t="shared" ref="E21:E60" si="0">+(C21-C$7)/C$8</f>
        <v>-1697.0282664868182</v>
      </c>
      <c r="F21" s="12">
        <f t="shared" ref="F21:F60" si="1">ROUND(2*E21,0)/2</f>
        <v>-1697</v>
      </c>
      <c r="G21" s="12">
        <f t="shared" ref="G21:G27" si="2">+C21-(C$7+F21*C$8)</f>
        <v>-9.5893999998224899E-2</v>
      </c>
      <c r="H21" s="12">
        <f t="shared" ref="H21:H27" si="3">+G21</f>
        <v>-9.5893999998224899E-2</v>
      </c>
      <c r="O21" s="12">
        <f t="shared" ref="O21:O60" ca="1" si="4">+C$11+C$12*$F21</f>
        <v>-0.71008385259174189</v>
      </c>
      <c r="Q21" s="14">
        <f t="shared" ref="Q21:Q60" si="5">+C21-15018.5</f>
        <v>5875.9700000000012</v>
      </c>
    </row>
    <row r="22" spans="1:17" s="12" customFormat="1" ht="12.75" customHeight="1" x14ac:dyDescent="0.2">
      <c r="A22" s="54" t="s">
        <v>73</v>
      </c>
      <c r="B22" s="56" t="s">
        <v>43</v>
      </c>
      <c r="C22" s="55">
        <v>24171.51</v>
      </c>
      <c r="D22" s="13"/>
      <c r="E22" s="38">
        <f t="shared" si="0"/>
        <v>-731.06159532002675</v>
      </c>
      <c r="F22" s="12">
        <f t="shared" si="1"/>
        <v>-731</v>
      </c>
      <c r="G22" s="12">
        <f t="shared" si="2"/>
        <v>-0.20896200000061071</v>
      </c>
      <c r="H22" s="12">
        <f t="shared" si="3"/>
        <v>-0.20896200000061071</v>
      </c>
      <c r="O22" s="12">
        <f t="shared" ca="1" si="4"/>
        <v>-0.63074646969450687</v>
      </c>
      <c r="Q22" s="14">
        <f t="shared" si="5"/>
        <v>9153.0099999999984</v>
      </c>
    </row>
    <row r="23" spans="1:17" s="12" customFormat="1" ht="12.75" customHeight="1" x14ac:dyDescent="0.2">
      <c r="A23" s="54" t="s">
        <v>73</v>
      </c>
      <c r="B23" s="56" t="s">
        <v>43</v>
      </c>
      <c r="C23" s="55">
        <v>25348.37</v>
      </c>
      <c r="D23" s="13"/>
      <c r="E23" s="38">
        <f t="shared" si="0"/>
        <v>-384.16087496588045</v>
      </c>
      <c r="F23" s="12">
        <f t="shared" si="1"/>
        <v>-384</v>
      </c>
      <c r="G23" s="12">
        <f t="shared" si="2"/>
        <v>-0.54576799999995274</v>
      </c>
      <c r="H23" s="12">
        <f t="shared" si="3"/>
        <v>-0.54576799999995274</v>
      </c>
      <c r="O23" s="12">
        <f t="shared" ca="1" si="4"/>
        <v>-0.60224743049643181</v>
      </c>
      <c r="Q23" s="14">
        <f t="shared" si="5"/>
        <v>10329.869999999999</v>
      </c>
    </row>
    <row r="24" spans="1:17" s="12" customFormat="1" ht="12.75" customHeight="1" x14ac:dyDescent="0.2">
      <c r="A24" s="54" t="s">
        <v>84</v>
      </c>
      <c r="B24" s="56" t="s">
        <v>43</v>
      </c>
      <c r="C24" s="55">
        <v>25647.454000000002</v>
      </c>
      <c r="D24" s="13"/>
      <c r="E24" s="38">
        <f t="shared" si="0"/>
        <v>-296.00046927072526</v>
      </c>
      <c r="F24" s="12">
        <f t="shared" si="1"/>
        <v>-296</v>
      </c>
      <c r="G24" s="12">
        <f t="shared" si="2"/>
        <v>-1.5919999968900811E-3</v>
      </c>
      <c r="H24" s="12">
        <f t="shared" si="3"/>
        <v>-1.5919999968900811E-3</v>
      </c>
      <c r="O24" s="12">
        <f t="shared" ca="1" si="4"/>
        <v>-0.59502000845196323</v>
      </c>
      <c r="Q24" s="14">
        <f t="shared" si="5"/>
        <v>10628.954000000002</v>
      </c>
    </row>
    <row r="25" spans="1:17" s="12" customFormat="1" ht="12.75" customHeight="1" x14ac:dyDescent="0.2">
      <c r="A25" s="54" t="s">
        <v>84</v>
      </c>
      <c r="B25" s="56" t="s">
        <v>43</v>
      </c>
      <c r="C25" s="55">
        <v>26003.556</v>
      </c>
      <c r="D25" s="13"/>
      <c r="E25" s="38">
        <f t="shared" si="0"/>
        <v>-191.03297923830698</v>
      </c>
      <c r="F25" s="12">
        <f t="shared" si="1"/>
        <v>-191</v>
      </c>
      <c r="G25" s="12">
        <f t="shared" si="2"/>
        <v>-0.1118819999974221</v>
      </c>
      <c r="H25" s="12">
        <f t="shared" si="3"/>
        <v>-0.1118819999974221</v>
      </c>
      <c r="O25" s="12">
        <f t="shared" ca="1" si="4"/>
        <v>-0.58639637987617677</v>
      </c>
      <c r="Q25" s="14">
        <f t="shared" si="5"/>
        <v>10985.056</v>
      </c>
    </row>
    <row r="26" spans="1:17" s="12" customFormat="1" ht="12.75" customHeight="1" x14ac:dyDescent="0.2">
      <c r="A26" s="54" t="s">
        <v>84</v>
      </c>
      <c r="B26" s="56" t="s">
        <v>43</v>
      </c>
      <c r="C26" s="55">
        <v>26417.487000000001</v>
      </c>
      <c r="D26" s="13"/>
      <c r="E26" s="38">
        <f t="shared" si="0"/>
        <v>-69.019347984876461</v>
      </c>
      <c r="F26" s="12">
        <f t="shared" si="1"/>
        <v>-69</v>
      </c>
      <c r="G26" s="12">
        <f t="shared" si="2"/>
        <v>-6.5637999996397411E-2</v>
      </c>
      <c r="H26" s="12">
        <f t="shared" si="3"/>
        <v>-6.5637999996397411E-2</v>
      </c>
      <c r="O26" s="12">
        <f t="shared" ca="1" si="4"/>
        <v>-0.57637654476907263</v>
      </c>
      <c r="Q26" s="14">
        <f t="shared" si="5"/>
        <v>11398.987000000001</v>
      </c>
    </row>
    <row r="27" spans="1:17" s="12" customFormat="1" ht="12.75" customHeight="1" x14ac:dyDescent="0.2">
      <c r="A27" s="54" t="s">
        <v>84</v>
      </c>
      <c r="B27" s="56" t="s">
        <v>43</v>
      </c>
      <c r="C27" s="55">
        <v>26651.566999999999</v>
      </c>
      <c r="D27" s="13"/>
      <c r="E27" s="38">
        <f t="shared" si="0"/>
        <v>-2.0044226997127636E-2</v>
      </c>
      <c r="F27" s="12">
        <f t="shared" si="1"/>
        <v>0</v>
      </c>
      <c r="G27" s="12">
        <f t="shared" si="2"/>
        <v>-6.7999999999301508E-2</v>
      </c>
      <c r="H27" s="12">
        <f t="shared" si="3"/>
        <v>-6.7999999999301508E-2</v>
      </c>
      <c r="O27" s="12">
        <f t="shared" ca="1" si="4"/>
        <v>-0.57070958884784151</v>
      </c>
      <c r="Q27" s="14">
        <f t="shared" si="5"/>
        <v>11633.066999999999</v>
      </c>
    </row>
    <row r="28" spans="1:17" s="12" customFormat="1" ht="12.75" customHeight="1" x14ac:dyDescent="0.2">
      <c r="A28" s="12" t="s">
        <v>13</v>
      </c>
      <c r="C28" s="13">
        <v>26651.634999999998</v>
      </c>
      <c r="D28" s="13" t="s">
        <v>15</v>
      </c>
      <c r="E28" s="12">
        <f t="shared" si="0"/>
        <v>0</v>
      </c>
      <c r="F28" s="12">
        <f t="shared" si="1"/>
        <v>0</v>
      </c>
      <c r="H28" s="12">
        <v>0</v>
      </c>
      <c r="O28" s="12">
        <f t="shared" ca="1" si="4"/>
        <v>-0.57070958884784151</v>
      </c>
      <c r="Q28" s="14">
        <f t="shared" si="5"/>
        <v>11633.134999999998</v>
      </c>
    </row>
    <row r="29" spans="1:17" s="12" customFormat="1" ht="12.75" customHeight="1" x14ac:dyDescent="0.2">
      <c r="A29" s="54" t="s">
        <v>98</v>
      </c>
      <c r="B29" s="56" t="s">
        <v>43</v>
      </c>
      <c r="C29" s="55">
        <v>27133.314999999999</v>
      </c>
      <c r="D29" s="13"/>
      <c r="E29" s="38">
        <f t="shared" si="0"/>
        <v>141.9838714717003</v>
      </c>
      <c r="F29" s="12">
        <f t="shared" si="1"/>
        <v>142</v>
      </c>
      <c r="G29" s="12">
        <f t="shared" ref="G29:G60" si="6">+C29-(C$7+F29*C$8)</f>
        <v>-5.4715999998734333E-2</v>
      </c>
      <c r="H29" s="12">
        <f t="shared" ref="H29:H43" si="7">+G29</f>
        <v>-5.4715999998734333E-2</v>
      </c>
      <c r="O29" s="12">
        <f t="shared" ca="1" si="4"/>
        <v>-0.55904715782153991</v>
      </c>
      <c r="Q29" s="14">
        <f t="shared" si="5"/>
        <v>12114.814999999999</v>
      </c>
    </row>
    <row r="30" spans="1:17" x14ac:dyDescent="0.2">
      <c r="A30" s="54" t="s">
        <v>84</v>
      </c>
      <c r="B30" s="56" t="s">
        <v>43</v>
      </c>
      <c r="C30" s="55">
        <v>27513.429</v>
      </c>
      <c r="D30" s="11"/>
      <c r="E30" s="38">
        <f t="shared" si="0"/>
        <v>254.02933177853066</v>
      </c>
      <c r="F30" s="12">
        <f t="shared" si="1"/>
        <v>254</v>
      </c>
      <c r="G30" s="12">
        <f t="shared" si="6"/>
        <v>9.9508000002970221E-2</v>
      </c>
      <c r="H30" s="12">
        <f t="shared" si="7"/>
        <v>9.9508000002970221E-2</v>
      </c>
      <c r="I30" s="12"/>
      <c r="J30" s="12"/>
      <c r="M30" s="12"/>
      <c r="N30" s="12"/>
      <c r="O30" s="12">
        <f t="shared" ca="1" si="4"/>
        <v>-0.54984862067403439</v>
      </c>
      <c r="P30" s="12"/>
      <c r="Q30" s="14">
        <f t="shared" si="5"/>
        <v>12494.929</v>
      </c>
    </row>
    <row r="31" spans="1:17" x14ac:dyDescent="0.2">
      <c r="A31" s="54" t="s">
        <v>84</v>
      </c>
      <c r="B31" s="56" t="s">
        <v>43</v>
      </c>
      <c r="C31" s="55">
        <v>27530.36</v>
      </c>
      <c r="D31" s="11"/>
      <c r="E31" s="38">
        <f t="shared" si="0"/>
        <v>259.02004953282278</v>
      </c>
      <c r="F31" s="12">
        <f t="shared" si="1"/>
        <v>259</v>
      </c>
      <c r="G31" s="12">
        <f t="shared" si="6"/>
        <v>6.8018000001757173E-2</v>
      </c>
      <c r="H31" s="12">
        <f t="shared" si="7"/>
        <v>6.8018000001757173E-2</v>
      </c>
      <c r="I31" s="12"/>
      <c r="J31" s="12"/>
      <c r="M31" s="12"/>
      <c r="N31" s="12"/>
      <c r="O31" s="12">
        <f t="shared" ca="1" si="4"/>
        <v>-0.54943797169423503</v>
      </c>
      <c r="P31" s="12"/>
      <c r="Q31" s="14">
        <f t="shared" si="5"/>
        <v>12511.86</v>
      </c>
    </row>
    <row r="32" spans="1:17" x14ac:dyDescent="0.2">
      <c r="A32" s="54" t="s">
        <v>84</v>
      </c>
      <c r="B32" s="56" t="s">
        <v>43</v>
      </c>
      <c r="C32" s="55">
        <v>27842.541000000001</v>
      </c>
      <c r="D32" s="11"/>
      <c r="E32" s="38">
        <f t="shared" si="0"/>
        <v>351.04103230127259</v>
      </c>
      <c r="F32" s="12">
        <f t="shared" si="1"/>
        <v>351</v>
      </c>
      <c r="G32" s="12">
        <f t="shared" si="6"/>
        <v>0.1392020000021148</v>
      </c>
      <c r="H32" s="12">
        <f t="shared" si="7"/>
        <v>0.1392020000021148</v>
      </c>
      <c r="I32" s="12"/>
      <c r="J32" s="12"/>
      <c r="M32" s="12"/>
      <c r="N32" s="12"/>
      <c r="O32" s="12">
        <f t="shared" ca="1" si="4"/>
        <v>-0.54188203046592687</v>
      </c>
      <c r="P32" s="12"/>
      <c r="Q32" s="14">
        <f t="shared" si="5"/>
        <v>12824.041000000001</v>
      </c>
    </row>
    <row r="33" spans="1:32" x14ac:dyDescent="0.2">
      <c r="A33" s="54" t="s">
        <v>84</v>
      </c>
      <c r="B33" s="56" t="s">
        <v>43</v>
      </c>
      <c r="C33" s="55">
        <v>28164.686000000002</v>
      </c>
      <c r="D33" s="11"/>
      <c r="E33" s="38">
        <f t="shared" si="0"/>
        <v>445.99908386091994</v>
      </c>
      <c r="F33" s="12">
        <f t="shared" si="1"/>
        <v>446</v>
      </c>
      <c r="G33" s="12">
        <f t="shared" si="6"/>
        <v>-3.1079999971552752E-3</v>
      </c>
      <c r="H33" s="12">
        <f t="shared" si="7"/>
        <v>-3.1079999971552752E-3</v>
      </c>
      <c r="I33" s="12"/>
      <c r="J33" s="12"/>
      <c r="M33" s="12"/>
      <c r="N33" s="12"/>
      <c r="O33" s="12">
        <f t="shared" ca="1" si="4"/>
        <v>-0.53407969984973924</v>
      </c>
      <c r="P33" s="12"/>
      <c r="Q33" s="14">
        <f t="shared" si="5"/>
        <v>13146.186000000002</v>
      </c>
    </row>
    <row r="34" spans="1:32" x14ac:dyDescent="0.2">
      <c r="A34" s="54" t="s">
        <v>98</v>
      </c>
      <c r="B34" s="56" t="s">
        <v>43</v>
      </c>
      <c r="C34" s="55">
        <v>29009.365000000002</v>
      </c>
      <c r="D34" s="11"/>
      <c r="E34" s="38">
        <f t="shared" si="0"/>
        <v>694.98346056504772</v>
      </c>
      <c r="F34" s="12">
        <f t="shared" si="1"/>
        <v>695</v>
      </c>
      <c r="G34" s="12">
        <f t="shared" si="6"/>
        <v>-5.6109999997715931E-2</v>
      </c>
      <c r="H34" s="12">
        <f t="shared" si="7"/>
        <v>-5.6109999997715931E-2</v>
      </c>
      <c r="I34" s="12"/>
      <c r="J34" s="12"/>
      <c r="M34" s="12"/>
      <c r="N34" s="12"/>
      <c r="O34" s="12">
        <f t="shared" ca="1" si="4"/>
        <v>-0.51362938065573138</v>
      </c>
      <c r="P34" s="12"/>
      <c r="Q34" s="14">
        <f t="shared" si="5"/>
        <v>13990.865000000002</v>
      </c>
    </row>
    <row r="35" spans="1:32" x14ac:dyDescent="0.2">
      <c r="A35" s="54" t="s">
        <v>84</v>
      </c>
      <c r="B35" s="56" t="s">
        <v>43</v>
      </c>
      <c r="C35" s="55">
        <v>30376.603999999999</v>
      </c>
      <c r="D35" s="11"/>
      <c r="E35" s="38">
        <f t="shared" si="0"/>
        <v>1098.0018263828015</v>
      </c>
      <c r="F35" s="12">
        <f t="shared" si="1"/>
        <v>1098</v>
      </c>
      <c r="G35" s="12">
        <f t="shared" si="6"/>
        <v>6.1960000020917505E-3</v>
      </c>
      <c r="H35" s="12">
        <f t="shared" si="7"/>
        <v>6.1960000020917505E-3</v>
      </c>
      <c r="I35" s="12"/>
      <c r="J35" s="12"/>
      <c r="M35" s="12"/>
      <c r="N35" s="12"/>
      <c r="O35" s="12">
        <f t="shared" ca="1" si="4"/>
        <v>-0.48053107288390356</v>
      </c>
      <c r="P35" s="12"/>
      <c r="Q35" s="14">
        <f t="shared" si="5"/>
        <v>15358.103999999999</v>
      </c>
    </row>
    <row r="36" spans="1:32" x14ac:dyDescent="0.2">
      <c r="A36" s="54" t="s">
        <v>84</v>
      </c>
      <c r="B36" s="56" t="s">
        <v>43</v>
      </c>
      <c r="C36" s="55">
        <v>30780.353999999999</v>
      </c>
      <c r="D36" s="11"/>
      <c r="E36" s="38">
        <f t="shared" si="0"/>
        <v>1217.0144241794692</v>
      </c>
      <c r="F36" s="12">
        <f t="shared" si="1"/>
        <v>1217</v>
      </c>
      <c r="G36" s="12">
        <f t="shared" si="6"/>
        <v>4.8934000002191169E-2</v>
      </c>
      <c r="H36" s="12">
        <f t="shared" si="7"/>
        <v>4.8934000002191169E-2</v>
      </c>
      <c r="I36" s="12"/>
      <c r="J36" s="12"/>
      <c r="M36" s="12"/>
      <c r="N36" s="12"/>
      <c r="O36" s="12">
        <f t="shared" ca="1" si="4"/>
        <v>-0.47075762716467895</v>
      </c>
      <c r="P36" s="12"/>
      <c r="Q36" s="14">
        <f t="shared" si="5"/>
        <v>15761.853999999999</v>
      </c>
    </row>
    <row r="37" spans="1:32" x14ac:dyDescent="0.2">
      <c r="A37" s="54" t="s">
        <v>84</v>
      </c>
      <c r="B37" s="56" t="s">
        <v>43</v>
      </c>
      <c r="C37" s="55">
        <v>33416.406999999999</v>
      </c>
      <c r="D37" s="11"/>
      <c r="E37" s="38">
        <f t="shared" si="0"/>
        <v>1994.038611076558</v>
      </c>
      <c r="F37" s="12">
        <f t="shared" si="1"/>
        <v>1994</v>
      </c>
      <c r="G37" s="12">
        <f t="shared" si="6"/>
        <v>0.13098800000443589</v>
      </c>
      <c r="H37" s="12">
        <f t="shared" si="7"/>
        <v>0.13098800000443589</v>
      </c>
      <c r="I37" s="12"/>
      <c r="J37" s="12"/>
      <c r="M37" s="12"/>
      <c r="N37" s="12"/>
      <c r="O37" s="12">
        <f t="shared" ca="1" si="4"/>
        <v>-0.40694277570385951</v>
      </c>
      <c r="P37" s="12"/>
      <c r="Q37" s="14">
        <f t="shared" si="5"/>
        <v>18397.906999999999</v>
      </c>
    </row>
    <row r="38" spans="1:32" x14ac:dyDescent="0.2">
      <c r="A38" s="54" t="s">
        <v>84</v>
      </c>
      <c r="B38" s="56" t="s">
        <v>43</v>
      </c>
      <c r="C38" s="55">
        <v>34471.375999999997</v>
      </c>
      <c r="D38" s="11"/>
      <c r="E38" s="38">
        <f t="shared" si="0"/>
        <v>2305.0097597699391</v>
      </c>
      <c r="F38" s="12">
        <f t="shared" si="1"/>
        <v>2305</v>
      </c>
      <c r="G38" s="12">
        <f t="shared" si="6"/>
        <v>3.3109999996668193E-2</v>
      </c>
      <c r="H38" s="12">
        <f t="shared" si="7"/>
        <v>3.3109999996668193E-2</v>
      </c>
      <c r="I38" s="12"/>
      <c r="J38" s="12"/>
      <c r="M38" s="12"/>
      <c r="N38" s="12"/>
      <c r="O38" s="12">
        <f t="shared" ca="1" si="4"/>
        <v>-0.38140040916033974</v>
      </c>
      <c r="P38" s="12"/>
      <c r="Q38" s="14">
        <f t="shared" si="5"/>
        <v>19452.875999999997</v>
      </c>
    </row>
    <row r="39" spans="1:32" x14ac:dyDescent="0.2">
      <c r="A39" s="54" t="s">
        <v>84</v>
      </c>
      <c r="B39" s="56" t="s">
        <v>43</v>
      </c>
      <c r="C39" s="55">
        <v>35821.648999999998</v>
      </c>
      <c r="D39" s="11"/>
      <c r="E39" s="38">
        <f t="shared" si="0"/>
        <v>2703.027090951859</v>
      </c>
      <c r="F39" s="12">
        <f t="shared" si="1"/>
        <v>2703</v>
      </c>
      <c r="G39" s="12">
        <f t="shared" si="6"/>
        <v>9.1906000001472421E-2</v>
      </c>
      <c r="H39" s="12">
        <f t="shared" si="7"/>
        <v>9.1906000001472421E-2</v>
      </c>
      <c r="I39" s="12"/>
      <c r="J39" s="12"/>
      <c r="M39" s="12"/>
      <c r="N39" s="12"/>
      <c r="O39" s="12">
        <f t="shared" ca="1" si="4"/>
        <v>-0.34871275036831123</v>
      </c>
      <c r="P39" s="12"/>
      <c r="Q39" s="14">
        <f t="shared" si="5"/>
        <v>20803.148999999998</v>
      </c>
    </row>
    <row r="40" spans="1:32" x14ac:dyDescent="0.2">
      <c r="A40" s="54" t="s">
        <v>84</v>
      </c>
      <c r="B40" s="56" t="s">
        <v>43</v>
      </c>
      <c r="C40" s="55">
        <v>36279.550999999999</v>
      </c>
      <c r="D40" s="11"/>
      <c r="E40" s="38">
        <f t="shared" si="0"/>
        <v>2838.001967871463</v>
      </c>
      <c r="F40" s="12">
        <f t="shared" si="1"/>
        <v>2838</v>
      </c>
      <c r="G40" s="12">
        <f t="shared" si="6"/>
        <v>6.6759999972418882E-3</v>
      </c>
      <c r="H40" s="12">
        <f t="shared" si="7"/>
        <v>6.6759999972418882E-3</v>
      </c>
      <c r="I40" s="12"/>
      <c r="J40" s="12"/>
      <c r="M40" s="12"/>
      <c r="N40" s="12"/>
      <c r="O40" s="12">
        <f t="shared" ca="1" si="4"/>
        <v>-0.33762522791372873</v>
      </c>
      <c r="P40" s="12"/>
      <c r="Q40" s="14">
        <f t="shared" si="5"/>
        <v>21261.050999999999</v>
      </c>
    </row>
    <row r="41" spans="1:32" s="12" customFormat="1" ht="12" customHeight="1" x14ac:dyDescent="0.2">
      <c r="A41" s="54" t="s">
        <v>84</v>
      </c>
      <c r="B41" s="56" t="s">
        <v>43</v>
      </c>
      <c r="C41" s="55">
        <v>36876.65</v>
      </c>
      <c r="D41" s="13"/>
      <c r="E41" s="38">
        <f t="shared" si="0"/>
        <v>3014.0076722226522</v>
      </c>
      <c r="F41" s="12">
        <f t="shared" si="1"/>
        <v>3014</v>
      </c>
      <c r="G41" s="12">
        <f t="shared" si="6"/>
        <v>2.6028000000223983E-2</v>
      </c>
      <c r="H41" s="12">
        <f t="shared" si="7"/>
        <v>2.6028000000223983E-2</v>
      </c>
      <c r="O41" s="12">
        <f t="shared" ca="1" si="4"/>
        <v>-0.32317038382479146</v>
      </c>
      <c r="Q41" s="14">
        <f t="shared" si="5"/>
        <v>21858.15</v>
      </c>
    </row>
    <row r="42" spans="1:32" s="12" customFormat="1" ht="12" customHeight="1" x14ac:dyDescent="0.2">
      <c r="A42" s="54" t="s">
        <v>84</v>
      </c>
      <c r="B42" s="56" t="s">
        <v>43</v>
      </c>
      <c r="C42" s="55">
        <v>37368.466999999997</v>
      </c>
      <c r="D42" s="13"/>
      <c r="E42" s="38">
        <f t="shared" si="0"/>
        <v>3158.9796073571742</v>
      </c>
      <c r="F42" s="12">
        <f t="shared" si="1"/>
        <v>3159</v>
      </c>
      <c r="G42" s="12">
        <f t="shared" si="6"/>
        <v>-6.9181999999273103E-2</v>
      </c>
      <c r="H42" s="12">
        <f t="shared" si="7"/>
        <v>-6.9181999999273103E-2</v>
      </c>
      <c r="O42" s="12">
        <f t="shared" ca="1" si="4"/>
        <v>-0.31126156341061023</v>
      </c>
      <c r="Q42" s="14">
        <f t="shared" si="5"/>
        <v>22349.966999999997</v>
      </c>
    </row>
    <row r="43" spans="1:32" s="12" customFormat="1" ht="12" customHeight="1" x14ac:dyDescent="0.2">
      <c r="A43" s="54" t="s">
        <v>84</v>
      </c>
      <c r="B43" s="56" t="s">
        <v>43</v>
      </c>
      <c r="C43" s="55">
        <v>37636.587</v>
      </c>
      <c r="D43" s="13"/>
      <c r="E43" s="38">
        <f t="shared" si="0"/>
        <v>3238.0128153354849</v>
      </c>
      <c r="F43" s="12">
        <f t="shared" si="1"/>
        <v>3238</v>
      </c>
      <c r="G43" s="12">
        <f t="shared" si="6"/>
        <v>4.3476000006194226E-2</v>
      </c>
      <c r="H43" s="12">
        <f t="shared" si="7"/>
        <v>4.3476000006194226E-2</v>
      </c>
      <c r="O43" s="12">
        <f t="shared" ca="1" si="4"/>
        <v>-0.30477330952978043</v>
      </c>
      <c r="Q43" s="14">
        <f t="shared" si="5"/>
        <v>22618.087</v>
      </c>
    </row>
    <row r="44" spans="1:32" s="12" customFormat="1" ht="12" customHeight="1" x14ac:dyDescent="0.2">
      <c r="A44" s="12" t="s">
        <v>31</v>
      </c>
      <c r="C44" s="13">
        <v>45381.601000000002</v>
      </c>
      <c r="D44" s="13"/>
      <c r="E44" s="12">
        <f t="shared" si="0"/>
        <v>5520.9954434755764</v>
      </c>
      <c r="F44" s="12">
        <f t="shared" si="1"/>
        <v>5521</v>
      </c>
      <c r="G44" s="12">
        <f t="shared" si="6"/>
        <v>-1.5457999994396232E-2</v>
      </c>
      <c r="I44" s="12">
        <f t="shared" ref="I44:I49" si="8">+G44</f>
        <v>-1.5457999994396232E-2</v>
      </c>
      <c r="O44" s="12">
        <f t="shared" ca="1" si="4"/>
        <v>-0.11727098535339581</v>
      </c>
      <c r="Q44" s="14">
        <f t="shared" si="5"/>
        <v>30363.101000000002</v>
      </c>
      <c r="AA44" s="12" t="s">
        <v>30</v>
      </c>
      <c r="AF44" s="12" t="s">
        <v>32</v>
      </c>
    </row>
    <row r="45" spans="1:32" s="12" customFormat="1" ht="12" customHeight="1" x14ac:dyDescent="0.2">
      <c r="A45" s="12" t="s">
        <v>33</v>
      </c>
      <c r="C45" s="13">
        <v>47990.383000000002</v>
      </c>
      <c r="D45" s="13"/>
      <c r="E45" s="12">
        <f t="shared" si="0"/>
        <v>6289.9810110426015</v>
      </c>
      <c r="F45" s="12">
        <f t="shared" si="1"/>
        <v>6290</v>
      </c>
      <c r="G45" s="12">
        <f t="shared" si="6"/>
        <v>-6.4419999995152466E-2</v>
      </c>
      <c r="I45" s="12">
        <f t="shared" si="8"/>
        <v>-6.4419999995152466E-2</v>
      </c>
      <c r="O45" s="12">
        <f t="shared" ca="1" si="4"/>
        <v>-5.411317226025536E-2</v>
      </c>
      <c r="Q45" s="14">
        <f t="shared" si="5"/>
        <v>32971.883000000002</v>
      </c>
      <c r="AA45" s="12" t="s">
        <v>30</v>
      </c>
      <c r="AF45" s="12" t="s">
        <v>32</v>
      </c>
    </row>
    <row r="46" spans="1:32" s="12" customFormat="1" ht="12" customHeight="1" x14ac:dyDescent="0.2">
      <c r="A46" s="12" t="s">
        <v>36</v>
      </c>
      <c r="C46" s="13">
        <v>48682.49</v>
      </c>
      <c r="D46" s="13">
        <v>0.02</v>
      </c>
      <c r="E46" s="12">
        <f t="shared" si="0"/>
        <v>6493.9920377255939</v>
      </c>
      <c r="F46" s="12">
        <f t="shared" si="1"/>
        <v>6494</v>
      </c>
      <c r="G46" s="12">
        <f t="shared" si="6"/>
        <v>-2.7011999998649117E-2</v>
      </c>
      <c r="I46" s="12">
        <f t="shared" si="8"/>
        <v>-2.7011999998649117E-2</v>
      </c>
      <c r="O46" s="12">
        <f t="shared" ca="1" si="4"/>
        <v>-3.7358693884441685E-2</v>
      </c>
      <c r="Q46" s="14">
        <f t="shared" si="5"/>
        <v>33663.99</v>
      </c>
      <c r="AA46" s="12" t="s">
        <v>34</v>
      </c>
      <c r="AB46" s="12">
        <v>104</v>
      </c>
      <c r="AD46" s="12" t="s">
        <v>35</v>
      </c>
      <c r="AF46" s="12" t="s">
        <v>37</v>
      </c>
    </row>
    <row r="47" spans="1:32" s="12" customFormat="1" ht="12" customHeight="1" x14ac:dyDescent="0.2">
      <c r="A47" s="12" t="s">
        <v>29</v>
      </c>
      <c r="C47" s="15">
        <v>49788.472999999998</v>
      </c>
      <c r="D47" s="15">
        <v>5.0000000000000001E-4</v>
      </c>
      <c r="E47" s="12">
        <f t="shared" si="0"/>
        <v>6820.0004834195925</v>
      </c>
      <c r="F47" s="12">
        <f t="shared" si="1"/>
        <v>6820</v>
      </c>
      <c r="G47" s="12">
        <f t="shared" si="6"/>
        <v>1.640000002225861E-3</v>
      </c>
      <c r="I47" s="12">
        <f t="shared" si="8"/>
        <v>1.640000002225861E-3</v>
      </c>
      <c r="O47" s="12">
        <f t="shared" ca="1" si="4"/>
        <v>-1.0584380401523874E-2</v>
      </c>
      <c r="Q47" s="14">
        <f t="shared" si="5"/>
        <v>34769.972999999998</v>
      </c>
    </row>
    <row r="48" spans="1:32" s="12" customFormat="1" ht="12" customHeight="1" x14ac:dyDescent="0.2">
      <c r="A48" s="54" t="s">
        <v>162</v>
      </c>
      <c r="B48" s="56" t="s">
        <v>43</v>
      </c>
      <c r="C48" s="55">
        <v>52000.46</v>
      </c>
      <c r="D48" s="13"/>
      <c r="E48" s="38">
        <f t="shared" si="0"/>
        <v>7472.0235649365168</v>
      </c>
      <c r="F48" s="12">
        <f t="shared" si="1"/>
        <v>7472</v>
      </c>
      <c r="G48" s="12">
        <f t="shared" si="6"/>
        <v>7.99440000046161E-2</v>
      </c>
      <c r="I48" s="12">
        <f t="shared" si="8"/>
        <v>7.99440000046161E-2</v>
      </c>
      <c r="O48" s="12">
        <f t="shared" ca="1" si="4"/>
        <v>4.2964246564311748E-2</v>
      </c>
      <c r="Q48" s="14">
        <f t="shared" si="5"/>
        <v>36981.96</v>
      </c>
    </row>
    <row r="49" spans="1:17" s="12" customFormat="1" ht="12" customHeight="1" x14ac:dyDescent="0.2">
      <c r="A49" s="54" t="s">
        <v>168</v>
      </c>
      <c r="B49" s="56" t="s">
        <v>43</v>
      </c>
      <c r="C49" s="55">
        <v>53055.44</v>
      </c>
      <c r="D49" s="13"/>
      <c r="E49" s="38">
        <f t="shared" si="0"/>
        <v>7782.997956078384</v>
      </c>
      <c r="F49" s="12">
        <f t="shared" si="1"/>
        <v>7783</v>
      </c>
      <c r="G49" s="12">
        <f t="shared" si="6"/>
        <v>-6.9339999899966642E-3</v>
      </c>
      <c r="I49" s="12">
        <f t="shared" si="8"/>
        <v>-6.9339999899966642E-3</v>
      </c>
      <c r="O49" s="12">
        <f t="shared" ca="1" si="4"/>
        <v>6.850661310783146E-2</v>
      </c>
      <c r="Q49" s="14">
        <f t="shared" si="5"/>
        <v>38036.94</v>
      </c>
    </row>
    <row r="50" spans="1:17" s="12" customFormat="1" ht="12" customHeight="1" x14ac:dyDescent="0.2">
      <c r="A50" s="16" t="s">
        <v>41</v>
      </c>
      <c r="B50" s="17"/>
      <c r="C50" s="13">
        <v>53815.450199999999</v>
      </c>
      <c r="D50" s="13">
        <v>1.4E-3</v>
      </c>
      <c r="E50" s="12">
        <f t="shared" si="0"/>
        <v>8007.0246762120423</v>
      </c>
      <c r="F50" s="12">
        <f t="shared" si="1"/>
        <v>8007</v>
      </c>
      <c r="G50" s="12">
        <f t="shared" si="6"/>
        <v>8.371400000032736E-2</v>
      </c>
      <c r="J50" s="12">
        <f>+G50</f>
        <v>8.371400000032736E-2</v>
      </c>
      <c r="O50" s="12">
        <f t="shared" ca="1" si="4"/>
        <v>8.6903687402842489E-2</v>
      </c>
      <c r="Q50" s="14">
        <f t="shared" si="5"/>
        <v>38796.950199999999</v>
      </c>
    </row>
    <row r="51" spans="1:17" s="12" customFormat="1" ht="12" customHeight="1" x14ac:dyDescent="0.2">
      <c r="A51" s="18" t="s">
        <v>42</v>
      </c>
      <c r="B51" s="19" t="s">
        <v>43</v>
      </c>
      <c r="C51" s="20">
        <v>53849.375699999997</v>
      </c>
      <c r="D51" s="20">
        <v>6.9999999999999999E-4</v>
      </c>
      <c r="E51" s="38">
        <f t="shared" si="0"/>
        <v>8017.0248294914245</v>
      </c>
      <c r="F51" s="12">
        <f t="shared" si="1"/>
        <v>8017</v>
      </c>
      <c r="G51" s="12">
        <f t="shared" si="6"/>
        <v>8.423400000174297E-2</v>
      </c>
      <c r="J51" s="12">
        <f>+G51</f>
        <v>8.423400000174297E-2</v>
      </c>
      <c r="O51" s="12">
        <f t="shared" ca="1" si="4"/>
        <v>8.7724985362441221E-2</v>
      </c>
      <c r="Q51" s="14">
        <f t="shared" si="5"/>
        <v>38830.875699999997</v>
      </c>
    </row>
    <row r="52" spans="1:17" s="12" customFormat="1" ht="12" customHeight="1" x14ac:dyDescent="0.2">
      <c r="A52" s="54" t="s">
        <v>185</v>
      </c>
      <c r="B52" s="56" t="s">
        <v>43</v>
      </c>
      <c r="C52" s="55">
        <v>54212.379399999998</v>
      </c>
      <c r="D52" s="13"/>
      <c r="E52" s="38">
        <f t="shared" si="0"/>
        <v>8124.0267201336601</v>
      </c>
      <c r="F52" s="12">
        <f t="shared" si="1"/>
        <v>8124</v>
      </c>
      <c r="G52" s="12">
        <f t="shared" si="6"/>
        <v>9.0648000004875939E-2</v>
      </c>
      <c r="K52" s="12">
        <f t="shared" ref="K52:K60" si="9">+G52</f>
        <v>9.0648000004875939E-2</v>
      </c>
      <c r="O52" s="12">
        <f t="shared" ca="1" si="4"/>
        <v>9.6512873530147369E-2</v>
      </c>
      <c r="Q52" s="14">
        <f t="shared" si="5"/>
        <v>39193.879399999998</v>
      </c>
    </row>
    <row r="53" spans="1:17" s="12" customFormat="1" ht="12" customHeight="1" x14ac:dyDescent="0.2">
      <c r="A53" s="20" t="s">
        <v>50</v>
      </c>
      <c r="B53" s="19" t="s">
        <v>43</v>
      </c>
      <c r="C53" s="20">
        <v>54507.542399999998</v>
      </c>
      <c r="D53" s="20">
        <v>3.7000000000000002E-3</v>
      </c>
      <c r="E53" s="38">
        <f t="shared" si="0"/>
        <v>8211.0313403279833</v>
      </c>
      <c r="F53" s="12">
        <f t="shared" si="1"/>
        <v>8211</v>
      </c>
      <c r="G53" s="12">
        <f t="shared" si="6"/>
        <v>0.10632199999963632</v>
      </c>
      <c r="J53" s="12">
        <f>+G53</f>
        <v>0.10632199999963632</v>
      </c>
      <c r="O53" s="12">
        <f t="shared" ca="1" si="4"/>
        <v>0.10365816577865616</v>
      </c>
      <c r="Q53" s="14">
        <f t="shared" si="5"/>
        <v>39489.042399999998</v>
      </c>
    </row>
    <row r="54" spans="1:17" s="12" customFormat="1" ht="12" customHeight="1" x14ac:dyDescent="0.2">
      <c r="A54" s="54" t="s">
        <v>198</v>
      </c>
      <c r="B54" s="56" t="s">
        <v>43</v>
      </c>
      <c r="C54" s="55">
        <v>55230.1656</v>
      </c>
      <c r="D54" s="13"/>
      <c r="E54" s="38">
        <f t="shared" si="0"/>
        <v>8424.0375675976829</v>
      </c>
      <c r="F54" s="12">
        <f t="shared" si="1"/>
        <v>8424</v>
      </c>
      <c r="G54" s="12">
        <f t="shared" si="6"/>
        <v>0.12744800000655232</v>
      </c>
      <c r="K54" s="12">
        <f t="shared" si="9"/>
        <v>0.12744800000655232</v>
      </c>
      <c r="O54" s="12">
        <f t="shared" ca="1" si="4"/>
        <v>0.12115181231810856</v>
      </c>
      <c r="Q54" s="14">
        <f t="shared" si="5"/>
        <v>40211.6656</v>
      </c>
    </row>
    <row r="55" spans="1:17" s="12" customFormat="1" ht="12" customHeight="1" x14ac:dyDescent="0.2">
      <c r="A55" s="39" t="s">
        <v>51</v>
      </c>
      <c r="B55" s="40" t="s">
        <v>43</v>
      </c>
      <c r="C55" s="39">
        <v>55243.735000000001</v>
      </c>
      <c r="D55" s="39">
        <v>5.9999999999999995E-4</v>
      </c>
      <c r="E55" s="38">
        <f t="shared" si="0"/>
        <v>8428.0373930950009</v>
      </c>
      <c r="F55" s="12">
        <f t="shared" si="1"/>
        <v>8428</v>
      </c>
      <c r="G55" s="12">
        <f t="shared" si="6"/>
        <v>0.12685600000259001</v>
      </c>
      <c r="K55" s="12">
        <f t="shared" si="9"/>
        <v>0.12685600000259001</v>
      </c>
      <c r="O55" s="12">
        <f t="shared" ca="1" si="4"/>
        <v>0.12148033150194804</v>
      </c>
      <c r="Q55" s="14">
        <f t="shared" si="5"/>
        <v>40225.235000000001</v>
      </c>
    </row>
    <row r="56" spans="1:17" s="12" customFormat="1" ht="12" customHeight="1" x14ac:dyDescent="0.2">
      <c r="A56" s="54" t="s">
        <v>198</v>
      </c>
      <c r="B56" s="56" t="s">
        <v>224</v>
      </c>
      <c r="C56" s="55">
        <v>55286.115899999997</v>
      </c>
      <c r="D56" s="13"/>
      <c r="E56" s="38">
        <f t="shared" si="0"/>
        <v>8440.5299280942836</v>
      </c>
      <c r="F56" s="12">
        <f t="shared" si="1"/>
        <v>8440.5</v>
      </c>
      <c r="G56" s="12">
        <f t="shared" si="6"/>
        <v>0.10153100000025006</v>
      </c>
      <c r="K56" s="12">
        <f t="shared" si="9"/>
        <v>0.10153100000025006</v>
      </c>
      <c r="O56" s="12">
        <f t="shared" ca="1" si="4"/>
        <v>0.1225069539514464</v>
      </c>
      <c r="Q56" s="14">
        <f t="shared" si="5"/>
        <v>40267.615899999997</v>
      </c>
    </row>
    <row r="57" spans="1:17" s="12" customFormat="1" ht="12" customHeight="1" x14ac:dyDescent="0.2">
      <c r="A57" s="54" t="s">
        <v>212</v>
      </c>
      <c r="B57" s="56" t="s">
        <v>43</v>
      </c>
      <c r="C57" s="55">
        <v>55576.208100000003</v>
      </c>
      <c r="D57" s="13"/>
      <c r="E57" s="38">
        <f t="shared" si="0"/>
        <v>8526.0398384906948</v>
      </c>
      <c r="F57" s="12">
        <f t="shared" si="1"/>
        <v>8526</v>
      </c>
      <c r="G57" s="12">
        <f t="shared" si="6"/>
        <v>0.135152000002563</v>
      </c>
      <c r="K57" s="12">
        <f t="shared" si="9"/>
        <v>0.135152000002563</v>
      </c>
      <c r="O57" s="12">
        <f t="shared" ca="1" si="4"/>
        <v>0.12952905150601535</v>
      </c>
      <c r="Q57" s="14">
        <f t="shared" si="5"/>
        <v>40557.708100000003</v>
      </c>
    </row>
    <row r="58" spans="1:17" s="12" customFormat="1" ht="12" customHeight="1" x14ac:dyDescent="0.2">
      <c r="A58" s="20" t="s">
        <v>54</v>
      </c>
      <c r="B58" s="19" t="s">
        <v>43</v>
      </c>
      <c r="C58" s="20">
        <v>56003.671600000001</v>
      </c>
      <c r="D58" s="20" t="s">
        <v>55</v>
      </c>
      <c r="E58" s="38">
        <f t="shared" si="0"/>
        <v>8652.0424183006162</v>
      </c>
      <c r="F58" s="12">
        <f t="shared" si="1"/>
        <v>8652</v>
      </c>
      <c r="G58" s="12">
        <f t="shared" si="6"/>
        <v>0.14390400000411319</v>
      </c>
      <c r="K58" s="12">
        <f t="shared" si="9"/>
        <v>0.14390400000411319</v>
      </c>
      <c r="O58" s="12">
        <f t="shared" ca="1" si="4"/>
        <v>0.13987740579695906</v>
      </c>
      <c r="Q58" s="14">
        <f t="shared" si="5"/>
        <v>40985.171600000001</v>
      </c>
    </row>
    <row r="59" spans="1:17" s="12" customFormat="1" ht="12" customHeight="1" x14ac:dyDescent="0.2">
      <c r="A59" s="54" t="s">
        <v>217</v>
      </c>
      <c r="B59" s="56" t="s">
        <v>43</v>
      </c>
      <c r="C59" s="55">
        <v>56003.716</v>
      </c>
      <c r="D59" s="13"/>
      <c r="E59" s="38">
        <f t="shared" si="0"/>
        <v>8652.0555060017741</v>
      </c>
      <c r="F59" s="12">
        <f t="shared" si="1"/>
        <v>8652</v>
      </c>
      <c r="G59" s="12">
        <f t="shared" si="6"/>
        <v>0.18830400000297232</v>
      </c>
      <c r="K59" s="12">
        <f t="shared" si="9"/>
        <v>0.18830400000297232</v>
      </c>
      <c r="O59" s="12">
        <f t="shared" ca="1" si="4"/>
        <v>0.13987740579695906</v>
      </c>
      <c r="Q59" s="14">
        <f t="shared" si="5"/>
        <v>40985.216</v>
      </c>
    </row>
    <row r="60" spans="1:17" s="12" customFormat="1" ht="12" customHeight="1" x14ac:dyDescent="0.2">
      <c r="A60" s="54" t="s">
        <v>223</v>
      </c>
      <c r="B60" s="56" t="s">
        <v>43</v>
      </c>
      <c r="C60" s="55">
        <v>56285.252699999997</v>
      </c>
      <c r="D60" s="13"/>
      <c r="E60" s="38">
        <f t="shared" si="0"/>
        <v>8735.0435283970692</v>
      </c>
      <c r="F60" s="12">
        <f t="shared" si="1"/>
        <v>8735</v>
      </c>
      <c r="G60" s="12">
        <f t="shared" si="6"/>
        <v>0.14767000000574626</v>
      </c>
      <c r="K60" s="12">
        <f t="shared" si="9"/>
        <v>0.14767000000574626</v>
      </c>
      <c r="O60" s="12">
        <f t="shared" ca="1" si="4"/>
        <v>0.14669417886162839</v>
      </c>
      <c r="Q60" s="14">
        <f t="shared" si="5"/>
        <v>41266.752699999997</v>
      </c>
    </row>
    <row r="61" spans="1:17" s="12" customFormat="1" ht="12" customHeight="1" x14ac:dyDescent="0.2">
      <c r="A61" s="57" t="s">
        <v>225</v>
      </c>
      <c r="B61" s="58" t="s">
        <v>43</v>
      </c>
      <c r="C61" s="59">
        <v>57496.393100000001</v>
      </c>
      <c r="D61" s="59">
        <v>5.0000000000000001E-3</v>
      </c>
      <c r="E61" s="38">
        <f>+(C61-C$7)/C$8</f>
        <v>9092.0490152094426</v>
      </c>
      <c r="F61" s="12">
        <f>ROUND(2*E61,0)/2</f>
        <v>9092</v>
      </c>
      <c r="G61" s="12">
        <f>+C61-(C$7+F61*C$8)</f>
        <v>0.16628400000627153</v>
      </c>
      <c r="K61" s="12">
        <f>+G61</f>
        <v>0.16628400000627153</v>
      </c>
      <c r="O61" s="12">
        <f ca="1">+C$11+C$12*$F61</f>
        <v>0.17601451601930218</v>
      </c>
      <c r="Q61" s="14">
        <f>+C61-15018.5</f>
        <v>42477.893100000001</v>
      </c>
    </row>
    <row r="62" spans="1:17" s="12" customFormat="1" ht="12" customHeight="1" x14ac:dyDescent="0.2">
      <c r="A62" s="60" t="s">
        <v>226</v>
      </c>
      <c r="B62" s="61" t="s">
        <v>43</v>
      </c>
      <c r="C62" s="62">
        <v>57788.163200000003</v>
      </c>
      <c r="D62" s="63" t="s">
        <v>196</v>
      </c>
      <c r="E62" s="38">
        <f>+(C62-C$7)/C$8</f>
        <v>9178.0535169070117</v>
      </c>
      <c r="F62" s="12">
        <f>ROUND(2*E62,0)/2</f>
        <v>9178</v>
      </c>
      <c r="G62" s="12">
        <f>+C62-(C$7+F62*C$8)</f>
        <v>0.18155600000318373</v>
      </c>
      <c r="K62" s="12">
        <f>+G62</f>
        <v>0.18155600000318373</v>
      </c>
      <c r="O62" s="12">
        <f ca="1">+C$11+C$12*$F62</f>
        <v>0.18307767847185097</v>
      </c>
      <c r="Q62" s="14">
        <f>+C62-15018.5</f>
        <v>42769.663200000003</v>
      </c>
    </row>
    <row r="63" spans="1:17" s="12" customFormat="1" ht="12" customHeight="1" x14ac:dyDescent="0.2">
      <c r="A63" s="64" t="s">
        <v>0</v>
      </c>
      <c r="B63" s="65" t="s">
        <v>43</v>
      </c>
      <c r="C63" s="66">
        <v>57825.4853</v>
      </c>
      <c r="D63" s="66">
        <v>3.8E-3</v>
      </c>
      <c r="E63" s="38">
        <f>+(C63-C$7)/C$8</f>
        <v>9189.0548793249109</v>
      </c>
      <c r="F63" s="12">
        <f>ROUND(2*E63,0)/2</f>
        <v>9189</v>
      </c>
      <c r="G63" s="12">
        <f>+C63-(C$7+F63*C$8)</f>
        <v>0.1861780000035651</v>
      </c>
      <c r="K63" s="12">
        <f>+G63</f>
        <v>0.1861780000035651</v>
      </c>
      <c r="O63" s="12">
        <f ca="1">+C$11+C$12*$F63</f>
        <v>0.1839811062274096</v>
      </c>
      <c r="Q63" s="14">
        <f>+C63-15018.5</f>
        <v>42806.9853</v>
      </c>
    </row>
    <row r="64" spans="1:17" s="12" customFormat="1" ht="12" customHeight="1" x14ac:dyDescent="0.2">
      <c r="A64" s="67" t="s">
        <v>227</v>
      </c>
      <c r="B64" s="68" t="s">
        <v>43</v>
      </c>
      <c r="C64" s="69">
        <v>59684.612399999998</v>
      </c>
      <c r="D64" s="70">
        <v>5.5999999999999999E-3</v>
      </c>
      <c r="E64" s="38">
        <f>+(C64-C$7)/C$8</f>
        <v>9737.0661382851231</v>
      </c>
      <c r="F64" s="12">
        <f>ROUND(2*E64,0)/2</f>
        <v>9737</v>
      </c>
      <c r="G64" s="12">
        <f>+C64-(C$7+F64*C$8)</f>
        <v>0.2243739999976242</v>
      </c>
      <c r="K64" s="12">
        <f>+G64</f>
        <v>0.2243739999976242</v>
      </c>
      <c r="O64" s="12">
        <f ca="1">+C$11+C$12*$F64</f>
        <v>0.22898823441341865</v>
      </c>
      <c r="Q64" s="14">
        <f>+C64-15018.5</f>
        <v>44666.112399999998</v>
      </c>
    </row>
    <row r="65" spans="2:4" s="12" customFormat="1" ht="12" customHeight="1" x14ac:dyDescent="0.2">
      <c r="B65" s="71"/>
      <c r="C65" s="13"/>
      <c r="D65" s="13"/>
    </row>
    <row r="66" spans="2:4" s="12" customFormat="1" ht="12" customHeight="1" x14ac:dyDescent="0.2">
      <c r="B66" s="71"/>
      <c r="C66" s="13"/>
      <c r="D66" s="13"/>
    </row>
    <row r="67" spans="2:4" s="12" customFormat="1" ht="12" customHeight="1" x14ac:dyDescent="0.2">
      <c r="B67" s="71"/>
      <c r="C67" s="13"/>
      <c r="D67" s="13"/>
    </row>
    <row r="68" spans="2:4" s="12" customFormat="1" ht="12" customHeight="1" x14ac:dyDescent="0.2">
      <c r="B68" s="71"/>
      <c r="C68" s="13"/>
      <c r="D68" s="13"/>
    </row>
    <row r="69" spans="2:4" s="12" customFormat="1" ht="12" customHeight="1" x14ac:dyDescent="0.2">
      <c r="B69" s="71"/>
      <c r="C69" s="13"/>
      <c r="D69" s="13"/>
    </row>
    <row r="70" spans="2:4" s="12" customFormat="1" ht="12" customHeight="1" x14ac:dyDescent="0.2">
      <c r="C70" s="13"/>
      <c r="D70" s="13"/>
    </row>
    <row r="71" spans="2:4" s="12" customFormat="1" ht="12" customHeight="1" x14ac:dyDescent="0.2">
      <c r="C71" s="13"/>
      <c r="D71" s="13"/>
    </row>
    <row r="72" spans="2:4" s="12" customFormat="1" ht="12" customHeight="1" x14ac:dyDescent="0.2">
      <c r="C72" s="13"/>
      <c r="D72" s="13"/>
    </row>
    <row r="73" spans="2:4" x14ac:dyDescent="0.2">
      <c r="C73" s="11"/>
      <c r="D73" s="11"/>
    </row>
    <row r="74" spans="2:4" x14ac:dyDescent="0.2">
      <c r="C74" s="11"/>
      <c r="D74" s="11"/>
    </row>
    <row r="75" spans="2:4" x14ac:dyDescent="0.2">
      <c r="C75" s="11"/>
      <c r="D75" s="11"/>
    </row>
    <row r="76" spans="2:4" x14ac:dyDescent="0.2">
      <c r="C76" s="11"/>
      <c r="D76" s="11"/>
    </row>
    <row r="77" spans="2:4" x14ac:dyDescent="0.2">
      <c r="C77" s="11"/>
      <c r="D77" s="11"/>
    </row>
    <row r="78" spans="2:4" x14ac:dyDescent="0.2">
      <c r="C78" s="11"/>
      <c r="D78" s="11"/>
    </row>
    <row r="79" spans="2:4" x14ac:dyDescent="0.2">
      <c r="C79" s="11"/>
      <c r="D79" s="11"/>
    </row>
    <row r="80" spans="2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</sheetData>
  <phoneticPr fontId="7" type="noConversion"/>
  <hyperlinks>
    <hyperlink ref="H63990" r:id="rId1" display="http://vsolj.cetus-net.org/bulletin.html" xr:uid="{00000000-0004-0000-0000-000000000000}"/>
    <hyperlink ref="H63983" r:id="rId2" display="https://www.aavso.org/ejaavso" xr:uid="{00000000-0004-0000-0000-000001000000}"/>
    <hyperlink ref="I63990" r:id="rId3" display="http://vsolj.cetus-net.org/bulletin.html" xr:uid="{00000000-0004-0000-0000-000002000000}"/>
    <hyperlink ref="AQ57641" r:id="rId4" display="http://cdsbib.u-strasbg.fr/cgi-bin/cdsbib?1990RMxAA..21..381G" xr:uid="{00000000-0004-0000-0000-000003000000}"/>
    <hyperlink ref="H63987" r:id="rId5" display="https://www.aavso.org/ejaavso" xr:uid="{00000000-0004-0000-0000-000004000000}"/>
    <hyperlink ref="AP5005" r:id="rId6" display="http://cdsbib.u-strasbg.fr/cgi-bin/cdsbib?1990RMxAA..21..381G" xr:uid="{00000000-0004-0000-0000-000005000000}"/>
    <hyperlink ref="AP5008" r:id="rId7" display="http://cdsbib.u-strasbg.fr/cgi-bin/cdsbib?1990RMxAA..21..381G" xr:uid="{00000000-0004-0000-0000-000006000000}"/>
    <hyperlink ref="AP5006" r:id="rId8" display="http://cdsbib.u-strasbg.fr/cgi-bin/cdsbib?1990RMxAA..21..381G" xr:uid="{00000000-0004-0000-0000-000007000000}"/>
    <hyperlink ref="AP4990" r:id="rId9" display="http://cdsbib.u-strasbg.fr/cgi-bin/cdsbib?1990RMxAA..21..381G" xr:uid="{00000000-0004-0000-0000-000008000000}"/>
    <hyperlink ref="AQ5219" r:id="rId10" display="http://cdsbib.u-strasbg.fr/cgi-bin/cdsbib?1990RMxAA..21..381G" xr:uid="{00000000-0004-0000-0000-000009000000}"/>
    <hyperlink ref="AQ5223" r:id="rId11" display="http://cdsbib.u-strasbg.fr/cgi-bin/cdsbib?1990RMxAA..21..381G" xr:uid="{00000000-0004-0000-0000-00000A000000}"/>
    <hyperlink ref="AQ64903" r:id="rId12" display="http://cdsbib.u-strasbg.fr/cgi-bin/cdsbib?1990RMxAA..21..381G" xr:uid="{00000000-0004-0000-0000-00000B000000}"/>
    <hyperlink ref="I2111" r:id="rId13" display="http://vsolj.cetus-net.org/bulletin.html" xr:uid="{00000000-0004-0000-0000-00000C000000}"/>
    <hyperlink ref="H2111" r:id="rId14" display="http://vsolj.cetus-net.org/bulletin.html" xr:uid="{00000000-0004-0000-0000-00000D000000}"/>
    <hyperlink ref="AQ28" r:id="rId15" display="http://cdsbib.u-strasbg.fr/cgi-bin/cdsbib?1990RMxAA..21..381G" xr:uid="{00000000-0004-0000-0000-00000E000000}"/>
    <hyperlink ref="AQ27" r:id="rId16" display="http://cdsbib.u-strasbg.fr/cgi-bin/cdsbib?1990RMxAA..21..381G" xr:uid="{00000000-0004-0000-0000-00000F000000}"/>
    <hyperlink ref="AP3281" r:id="rId17" display="http://cdsbib.u-strasbg.fr/cgi-bin/cdsbib?1990RMxAA..21..381G" xr:uid="{00000000-0004-0000-0000-000010000000}"/>
    <hyperlink ref="AP3299" r:id="rId18" display="http://cdsbib.u-strasbg.fr/cgi-bin/cdsbib?1990RMxAA..21..381G" xr:uid="{00000000-0004-0000-0000-000011000000}"/>
    <hyperlink ref="AP3300" r:id="rId19" display="http://cdsbib.u-strasbg.fr/cgi-bin/cdsbib?1990RMxAA..21..381G" xr:uid="{00000000-0004-0000-0000-000012000000}"/>
    <hyperlink ref="AP329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3"/>
  <sheetViews>
    <sheetView workbookViewId="0">
      <selection activeCell="A18" sqref="A18:C47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56</v>
      </c>
      <c r="I1" s="42" t="s">
        <v>57</v>
      </c>
      <c r="J1" s="43" t="s">
        <v>58</v>
      </c>
    </row>
    <row r="2" spans="1:16" x14ac:dyDescent="0.2">
      <c r="I2" s="44" t="s">
        <v>59</v>
      </c>
      <c r="J2" s="45" t="s">
        <v>60</v>
      </c>
    </row>
    <row r="3" spans="1:16" x14ac:dyDescent="0.2">
      <c r="A3" s="46" t="s">
        <v>61</v>
      </c>
      <c r="I3" s="44" t="s">
        <v>62</v>
      </c>
      <c r="J3" s="45" t="s">
        <v>30</v>
      </c>
    </row>
    <row r="4" spans="1:16" x14ac:dyDescent="0.2">
      <c r="I4" s="44" t="s">
        <v>63</v>
      </c>
      <c r="J4" s="45" t="s">
        <v>30</v>
      </c>
    </row>
    <row r="5" spans="1:16" ht="13.5" thickBot="1" x14ac:dyDescent="0.25">
      <c r="I5" s="47" t="s">
        <v>64</v>
      </c>
      <c r="J5" s="48" t="s">
        <v>65</v>
      </c>
    </row>
    <row r="10" spans="1:16" ht="13.5" thickBot="1" x14ac:dyDescent="0.25"/>
    <row r="11" spans="1:16" ht="12.75" customHeight="1" thickBot="1" x14ac:dyDescent="0.25">
      <c r="A11" s="11" t="str">
        <f t="shared" ref="A11:A47" si="0">P11</f>
        <v>BAVM 59 </v>
      </c>
      <c r="B11" s="24" t="str">
        <f t="shared" ref="B11:B47" si="1">IF(H11=INT(H11),"I","II")</f>
        <v>I</v>
      </c>
      <c r="C11" s="11">
        <f t="shared" ref="C11:C47" si="2">1*G11</f>
        <v>47990.383000000002</v>
      </c>
      <c r="D11" s="10" t="str">
        <f t="shared" ref="D11:D47" si="3">VLOOKUP(F11,I$1:J$5,2,FALSE)</f>
        <v>vis</v>
      </c>
      <c r="E11" s="49">
        <f>VLOOKUP(C11,Active!C$21:E$973,3,FALSE)</f>
        <v>6289.9810110426015</v>
      </c>
      <c r="F11" s="24" t="s">
        <v>64</v>
      </c>
      <c r="G11" s="10" t="str">
        <f t="shared" ref="G11:G47" si="4">MID(I11,3,LEN(I11)-3)</f>
        <v>47990.383</v>
      </c>
      <c r="H11" s="11">
        <f t="shared" ref="H11:H47" si="5">1*K11</f>
        <v>6290</v>
      </c>
      <c r="I11" s="50" t="s">
        <v>140</v>
      </c>
      <c r="J11" s="51" t="s">
        <v>141</v>
      </c>
      <c r="K11" s="50">
        <v>6290</v>
      </c>
      <c r="L11" s="50" t="s">
        <v>142</v>
      </c>
      <c r="M11" s="51" t="s">
        <v>67</v>
      </c>
      <c r="N11" s="51"/>
      <c r="O11" s="52" t="s">
        <v>143</v>
      </c>
      <c r="P11" s="53" t="s">
        <v>144</v>
      </c>
    </row>
    <row r="12" spans="1:16" ht="12.75" customHeight="1" thickBot="1" x14ac:dyDescent="0.25">
      <c r="A12" s="11" t="str">
        <f t="shared" si="0"/>
        <v> BBS 101 </v>
      </c>
      <c r="B12" s="24" t="str">
        <f t="shared" si="1"/>
        <v>I</v>
      </c>
      <c r="C12" s="11">
        <f t="shared" si="2"/>
        <v>48682.49</v>
      </c>
      <c r="D12" s="10" t="str">
        <f t="shared" si="3"/>
        <v>vis</v>
      </c>
      <c r="E12" s="49">
        <f>VLOOKUP(C12,Active!C$21:E$973,3,FALSE)</f>
        <v>6493.9920377255939</v>
      </c>
      <c r="F12" s="24" t="s">
        <v>64</v>
      </c>
      <c r="G12" s="10" t="str">
        <f t="shared" si="4"/>
        <v>48682.49</v>
      </c>
      <c r="H12" s="11">
        <f t="shared" si="5"/>
        <v>6494</v>
      </c>
      <c r="I12" s="50" t="s">
        <v>145</v>
      </c>
      <c r="J12" s="51" t="s">
        <v>146</v>
      </c>
      <c r="K12" s="50">
        <v>6494</v>
      </c>
      <c r="L12" s="50" t="s">
        <v>147</v>
      </c>
      <c r="M12" s="51" t="s">
        <v>148</v>
      </c>
      <c r="N12" s="51" t="s">
        <v>149</v>
      </c>
      <c r="O12" s="52" t="s">
        <v>150</v>
      </c>
      <c r="P12" s="52" t="s">
        <v>151</v>
      </c>
    </row>
    <row r="13" spans="1:16" ht="12.75" customHeight="1" thickBot="1" x14ac:dyDescent="0.25">
      <c r="A13" s="11" t="str">
        <f t="shared" si="0"/>
        <v>BAVM 91 </v>
      </c>
      <c r="B13" s="24" t="str">
        <f t="shared" si="1"/>
        <v>I</v>
      </c>
      <c r="C13" s="11">
        <f t="shared" si="2"/>
        <v>49788.472999999998</v>
      </c>
      <c r="D13" s="10" t="str">
        <f t="shared" si="3"/>
        <v>vis</v>
      </c>
      <c r="E13" s="49">
        <f>VLOOKUP(C13,Active!C$21:E$973,3,FALSE)</f>
        <v>6820.0004834195925</v>
      </c>
      <c r="F13" s="24" t="s">
        <v>64</v>
      </c>
      <c r="G13" s="10" t="str">
        <f t="shared" si="4"/>
        <v>49788.4730</v>
      </c>
      <c r="H13" s="11">
        <f t="shared" si="5"/>
        <v>6820</v>
      </c>
      <c r="I13" s="50" t="s">
        <v>152</v>
      </c>
      <c r="J13" s="51" t="s">
        <v>153</v>
      </c>
      <c r="K13" s="50">
        <v>6820</v>
      </c>
      <c r="L13" s="50" t="s">
        <v>154</v>
      </c>
      <c r="M13" s="51" t="s">
        <v>148</v>
      </c>
      <c r="N13" s="51" t="s">
        <v>155</v>
      </c>
      <c r="O13" s="52" t="s">
        <v>156</v>
      </c>
      <c r="P13" s="53" t="s">
        <v>157</v>
      </c>
    </row>
    <row r="14" spans="1:16" ht="12.75" customHeight="1" thickBot="1" x14ac:dyDescent="0.25">
      <c r="A14" s="11" t="str">
        <f t="shared" si="0"/>
        <v>BAVM 178 </v>
      </c>
      <c r="B14" s="24" t="str">
        <f t="shared" si="1"/>
        <v>I</v>
      </c>
      <c r="C14" s="11">
        <f t="shared" si="2"/>
        <v>53815.450199999999</v>
      </c>
      <c r="D14" s="10" t="str">
        <f t="shared" si="3"/>
        <v>vis</v>
      </c>
      <c r="E14" s="49">
        <f>VLOOKUP(C14,Active!C$21:E$973,3,FALSE)</f>
        <v>8007.0246762120423</v>
      </c>
      <c r="F14" s="24" t="s">
        <v>64</v>
      </c>
      <c r="G14" s="10" t="str">
        <f t="shared" si="4"/>
        <v>53815.4502</v>
      </c>
      <c r="H14" s="11">
        <f t="shared" si="5"/>
        <v>8007</v>
      </c>
      <c r="I14" s="50" t="s">
        <v>169</v>
      </c>
      <c r="J14" s="51" t="s">
        <v>170</v>
      </c>
      <c r="K14" s="50">
        <v>8007</v>
      </c>
      <c r="L14" s="50" t="s">
        <v>171</v>
      </c>
      <c r="M14" s="51" t="s">
        <v>172</v>
      </c>
      <c r="N14" s="51" t="s">
        <v>173</v>
      </c>
      <c r="O14" s="52" t="s">
        <v>156</v>
      </c>
      <c r="P14" s="53" t="s">
        <v>174</v>
      </c>
    </row>
    <row r="15" spans="1:16" ht="12.75" customHeight="1" thickBot="1" x14ac:dyDescent="0.25">
      <c r="A15" s="11" t="str">
        <f t="shared" si="0"/>
        <v>IBVS 5713 </v>
      </c>
      <c r="B15" s="24" t="str">
        <f t="shared" si="1"/>
        <v>I</v>
      </c>
      <c r="C15" s="11">
        <f t="shared" si="2"/>
        <v>53849.375699999997</v>
      </c>
      <c r="D15" s="10" t="str">
        <f t="shared" si="3"/>
        <v>vis</v>
      </c>
      <c r="E15" s="49">
        <f>VLOOKUP(C15,Active!C$21:E$973,3,FALSE)</f>
        <v>8017.0248294914245</v>
      </c>
      <c r="F15" s="24" t="s">
        <v>64</v>
      </c>
      <c r="G15" s="10" t="str">
        <f t="shared" si="4"/>
        <v>53849.3757</v>
      </c>
      <c r="H15" s="11">
        <f t="shared" si="5"/>
        <v>8017</v>
      </c>
      <c r="I15" s="50" t="s">
        <v>175</v>
      </c>
      <c r="J15" s="51" t="s">
        <v>176</v>
      </c>
      <c r="K15" s="50" t="s">
        <v>177</v>
      </c>
      <c r="L15" s="50" t="s">
        <v>178</v>
      </c>
      <c r="M15" s="51" t="s">
        <v>148</v>
      </c>
      <c r="N15" s="51" t="s">
        <v>149</v>
      </c>
      <c r="O15" s="52" t="s">
        <v>161</v>
      </c>
      <c r="P15" s="53" t="s">
        <v>179</v>
      </c>
    </row>
    <row r="16" spans="1:16" ht="12.75" customHeight="1" thickBot="1" x14ac:dyDescent="0.25">
      <c r="A16" s="11" t="str">
        <f t="shared" si="0"/>
        <v>BAVM 201 </v>
      </c>
      <c r="B16" s="24" t="str">
        <f t="shared" si="1"/>
        <v>I</v>
      </c>
      <c r="C16" s="11">
        <f t="shared" si="2"/>
        <v>54507.542399999998</v>
      </c>
      <c r="D16" s="10" t="str">
        <f t="shared" si="3"/>
        <v>vis</v>
      </c>
      <c r="E16" s="49">
        <f>VLOOKUP(C16,Active!C$21:E$973,3,FALSE)</f>
        <v>8211.0313403279833</v>
      </c>
      <c r="F16" s="24" t="s">
        <v>64</v>
      </c>
      <c r="G16" s="10" t="str">
        <f t="shared" si="4"/>
        <v>54507.5424</v>
      </c>
      <c r="H16" s="11">
        <f t="shared" si="5"/>
        <v>8211</v>
      </c>
      <c r="I16" s="50" t="s">
        <v>186</v>
      </c>
      <c r="J16" s="51" t="s">
        <v>187</v>
      </c>
      <c r="K16" s="50" t="s">
        <v>188</v>
      </c>
      <c r="L16" s="50" t="s">
        <v>189</v>
      </c>
      <c r="M16" s="51" t="s">
        <v>172</v>
      </c>
      <c r="N16" s="51" t="s">
        <v>155</v>
      </c>
      <c r="O16" s="52" t="s">
        <v>190</v>
      </c>
      <c r="P16" s="53" t="s">
        <v>191</v>
      </c>
    </row>
    <row r="17" spans="1:16" ht="12.75" customHeight="1" thickBot="1" x14ac:dyDescent="0.25">
      <c r="A17" s="11" t="str">
        <f t="shared" si="0"/>
        <v>IBVS 5945 </v>
      </c>
      <c r="B17" s="24" t="str">
        <f t="shared" si="1"/>
        <v>I</v>
      </c>
      <c r="C17" s="11">
        <f t="shared" si="2"/>
        <v>55243.735000000001</v>
      </c>
      <c r="D17" s="10" t="str">
        <f t="shared" si="3"/>
        <v>vis</v>
      </c>
      <c r="E17" s="49">
        <f>VLOOKUP(C17,Active!C$21:E$973,3,FALSE)</f>
        <v>8428.0373930950009</v>
      </c>
      <c r="F17" s="24" t="s">
        <v>64</v>
      </c>
      <c r="G17" s="10" t="str">
        <f t="shared" si="4"/>
        <v>55243.7350</v>
      </c>
      <c r="H17" s="11">
        <f t="shared" si="5"/>
        <v>8428</v>
      </c>
      <c r="I17" s="50" t="s">
        <v>199</v>
      </c>
      <c r="J17" s="51" t="s">
        <v>200</v>
      </c>
      <c r="K17" s="50" t="s">
        <v>201</v>
      </c>
      <c r="L17" s="50" t="s">
        <v>202</v>
      </c>
      <c r="M17" s="51" t="s">
        <v>172</v>
      </c>
      <c r="N17" s="51" t="s">
        <v>64</v>
      </c>
      <c r="O17" s="52" t="s">
        <v>161</v>
      </c>
      <c r="P17" s="53" t="s">
        <v>203</v>
      </c>
    </row>
    <row r="18" spans="1:16" ht="12.75" customHeight="1" thickBot="1" x14ac:dyDescent="0.25">
      <c r="A18" s="11" t="str">
        <f t="shared" si="0"/>
        <v> PZ 6.311 </v>
      </c>
      <c r="B18" s="24" t="str">
        <f t="shared" si="1"/>
        <v>I</v>
      </c>
      <c r="C18" s="11">
        <f t="shared" si="2"/>
        <v>20894.47</v>
      </c>
      <c r="D18" s="10" t="str">
        <f t="shared" si="3"/>
        <v>vis</v>
      </c>
      <c r="E18" s="49">
        <f>VLOOKUP(C18,Active!C$21:E$973,3,FALSE)</f>
        <v>-1697.0282664868182</v>
      </c>
      <c r="F18" s="24" t="s">
        <v>64</v>
      </c>
      <c r="G18" s="10" t="str">
        <f t="shared" si="4"/>
        <v>20894.47</v>
      </c>
      <c r="H18" s="11">
        <f t="shared" si="5"/>
        <v>-1697</v>
      </c>
      <c r="I18" s="50" t="s">
        <v>68</v>
      </c>
      <c r="J18" s="51" t="s">
        <v>69</v>
      </c>
      <c r="K18" s="50">
        <v>-1697</v>
      </c>
      <c r="L18" s="50" t="s">
        <v>70</v>
      </c>
      <c r="M18" s="51" t="s">
        <v>71</v>
      </c>
      <c r="N18" s="51"/>
      <c r="O18" s="52" t="s">
        <v>72</v>
      </c>
      <c r="P18" s="52" t="s">
        <v>73</v>
      </c>
    </row>
    <row r="19" spans="1:16" ht="12.75" customHeight="1" thickBot="1" x14ac:dyDescent="0.25">
      <c r="A19" s="11" t="str">
        <f t="shared" si="0"/>
        <v> PZ 6.311 </v>
      </c>
      <c r="B19" s="24" t="str">
        <f t="shared" si="1"/>
        <v>I</v>
      </c>
      <c r="C19" s="11">
        <f t="shared" si="2"/>
        <v>24171.51</v>
      </c>
      <c r="D19" s="10" t="str">
        <f t="shared" si="3"/>
        <v>vis</v>
      </c>
      <c r="E19" s="49">
        <f>VLOOKUP(C19,Active!C$21:E$973,3,FALSE)</f>
        <v>-731.06159532002675</v>
      </c>
      <c r="F19" s="24" t="s">
        <v>64</v>
      </c>
      <c r="G19" s="10" t="str">
        <f t="shared" si="4"/>
        <v>24171.51</v>
      </c>
      <c r="H19" s="11">
        <f t="shared" si="5"/>
        <v>-731</v>
      </c>
      <c r="I19" s="50" t="s">
        <v>74</v>
      </c>
      <c r="J19" s="51" t="s">
        <v>75</v>
      </c>
      <c r="K19" s="50">
        <v>-731</v>
      </c>
      <c r="L19" s="50" t="s">
        <v>76</v>
      </c>
      <c r="M19" s="51" t="s">
        <v>71</v>
      </c>
      <c r="N19" s="51"/>
      <c r="O19" s="52" t="s">
        <v>72</v>
      </c>
      <c r="P19" s="52" t="s">
        <v>73</v>
      </c>
    </row>
    <row r="20" spans="1:16" ht="12.75" customHeight="1" thickBot="1" x14ac:dyDescent="0.25">
      <c r="A20" s="11" t="str">
        <f t="shared" si="0"/>
        <v> PZ 6.311 </v>
      </c>
      <c r="B20" s="24" t="str">
        <f t="shared" si="1"/>
        <v>I</v>
      </c>
      <c r="C20" s="11">
        <f t="shared" si="2"/>
        <v>25348.37</v>
      </c>
      <c r="D20" s="10" t="str">
        <f t="shared" si="3"/>
        <v>vis</v>
      </c>
      <c r="E20" s="49">
        <f>VLOOKUP(C20,Active!C$21:E$973,3,FALSE)</f>
        <v>-384.16087496588045</v>
      </c>
      <c r="F20" s="24" t="s">
        <v>64</v>
      </c>
      <c r="G20" s="10" t="str">
        <f t="shared" si="4"/>
        <v>25348.37</v>
      </c>
      <c r="H20" s="11">
        <f t="shared" si="5"/>
        <v>-384</v>
      </c>
      <c r="I20" s="50" t="s">
        <v>77</v>
      </c>
      <c r="J20" s="51" t="s">
        <v>78</v>
      </c>
      <c r="K20" s="50">
        <v>-384</v>
      </c>
      <c r="L20" s="50" t="s">
        <v>79</v>
      </c>
      <c r="M20" s="51" t="s">
        <v>71</v>
      </c>
      <c r="N20" s="51"/>
      <c r="O20" s="52" t="s">
        <v>72</v>
      </c>
      <c r="P20" s="52" t="s">
        <v>73</v>
      </c>
    </row>
    <row r="21" spans="1:16" ht="12.75" customHeight="1" thickBot="1" x14ac:dyDescent="0.25">
      <c r="A21" s="11" t="str">
        <f t="shared" si="0"/>
        <v> MVS 666 </v>
      </c>
      <c r="B21" s="24" t="str">
        <f t="shared" si="1"/>
        <v>I</v>
      </c>
      <c r="C21" s="11">
        <f t="shared" si="2"/>
        <v>25647.454000000002</v>
      </c>
      <c r="D21" s="10" t="str">
        <f t="shared" si="3"/>
        <v>vis</v>
      </c>
      <c r="E21" s="49">
        <f>VLOOKUP(C21,Active!C$21:E$973,3,FALSE)</f>
        <v>-296.00046927072526</v>
      </c>
      <c r="F21" s="24" t="s">
        <v>64</v>
      </c>
      <c r="G21" s="10" t="str">
        <f t="shared" si="4"/>
        <v>25647.454</v>
      </c>
      <c r="H21" s="11">
        <f t="shared" si="5"/>
        <v>-296</v>
      </c>
      <c r="I21" s="50" t="s">
        <v>80</v>
      </c>
      <c r="J21" s="51" t="s">
        <v>81</v>
      </c>
      <c r="K21" s="50">
        <v>-296</v>
      </c>
      <c r="L21" s="50" t="s">
        <v>82</v>
      </c>
      <c r="M21" s="51" t="s">
        <v>71</v>
      </c>
      <c r="N21" s="51"/>
      <c r="O21" s="52" t="s">
        <v>83</v>
      </c>
      <c r="P21" s="52" t="s">
        <v>84</v>
      </c>
    </row>
    <row r="22" spans="1:16" ht="12.75" customHeight="1" thickBot="1" x14ac:dyDescent="0.25">
      <c r="A22" s="11" t="str">
        <f t="shared" si="0"/>
        <v> MVS 666 </v>
      </c>
      <c r="B22" s="24" t="str">
        <f t="shared" si="1"/>
        <v>I</v>
      </c>
      <c r="C22" s="11">
        <f t="shared" si="2"/>
        <v>26003.556</v>
      </c>
      <c r="D22" s="10" t="str">
        <f t="shared" si="3"/>
        <v>vis</v>
      </c>
      <c r="E22" s="49">
        <f>VLOOKUP(C22,Active!C$21:E$973,3,FALSE)</f>
        <v>-191.03297923830698</v>
      </c>
      <c r="F22" s="24" t="s">
        <v>64</v>
      </c>
      <c r="G22" s="10" t="str">
        <f t="shared" si="4"/>
        <v>26003.556</v>
      </c>
      <c r="H22" s="11">
        <f t="shared" si="5"/>
        <v>-191</v>
      </c>
      <c r="I22" s="50" t="s">
        <v>85</v>
      </c>
      <c r="J22" s="51" t="s">
        <v>86</v>
      </c>
      <c r="K22" s="50">
        <v>-191</v>
      </c>
      <c r="L22" s="50" t="s">
        <v>87</v>
      </c>
      <c r="M22" s="51" t="s">
        <v>71</v>
      </c>
      <c r="N22" s="51"/>
      <c r="O22" s="52" t="s">
        <v>83</v>
      </c>
      <c r="P22" s="52" t="s">
        <v>84</v>
      </c>
    </row>
    <row r="23" spans="1:16" ht="12.75" customHeight="1" thickBot="1" x14ac:dyDescent="0.25">
      <c r="A23" s="11" t="str">
        <f t="shared" si="0"/>
        <v> MVS 666 </v>
      </c>
      <c r="B23" s="24" t="str">
        <f t="shared" si="1"/>
        <v>I</v>
      </c>
      <c r="C23" s="11">
        <f t="shared" si="2"/>
        <v>26417.487000000001</v>
      </c>
      <c r="D23" s="10" t="str">
        <f t="shared" si="3"/>
        <v>vis</v>
      </c>
      <c r="E23" s="49">
        <f>VLOOKUP(C23,Active!C$21:E$973,3,FALSE)</f>
        <v>-69.019347984876461</v>
      </c>
      <c r="F23" s="24" t="s">
        <v>64</v>
      </c>
      <c r="G23" s="10" t="str">
        <f t="shared" si="4"/>
        <v>26417.487</v>
      </c>
      <c r="H23" s="11">
        <f t="shared" si="5"/>
        <v>-69</v>
      </c>
      <c r="I23" s="50" t="s">
        <v>88</v>
      </c>
      <c r="J23" s="51" t="s">
        <v>89</v>
      </c>
      <c r="K23" s="50">
        <v>-69</v>
      </c>
      <c r="L23" s="50" t="s">
        <v>90</v>
      </c>
      <c r="M23" s="51" t="s">
        <v>71</v>
      </c>
      <c r="N23" s="51"/>
      <c r="O23" s="52" t="s">
        <v>83</v>
      </c>
      <c r="P23" s="52" t="s">
        <v>84</v>
      </c>
    </row>
    <row r="24" spans="1:16" ht="12.75" customHeight="1" thickBot="1" x14ac:dyDescent="0.25">
      <c r="A24" s="11" t="str">
        <f t="shared" si="0"/>
        <v> MVS 666 </v>
      </c>
      <c r="B24" s="24" t="str">
        <f t="shared" si="1"/>
        <v>I</v>
      </c>
      <c r="C24" s="11">
        <f t="shared" si="2"/>
        <v>26651.566999999999</v>
      </c>
      <c r="D24" s="10" t="str">
        <f t="shared" si="3"/>
        <v>vis</v>
      </c>
      <c r="E24" s="49">
        <f>VLOOKUP(C24,Active!C$21:E$973,3,FALSE)</f>
        <v>-2.0044226997127636E-2</v>
      </c>
      <c r="F24" s="24" t="s">
        <v>64</v>
      </c>
      <c r="G24" s="10" t="str">
        <f t="shared" si="4"/>
        <v>26651.567</v>
      </c>
      <c r="H24" s="11">
        <f t="shared" si="5"/>
        <v>0</v>
      </c>
      <c r="I24" s="50" t="s">
        <v>91</v>
      </c>
      <c r="J24" s="51" t="s">
        <v>92</v>
      </c>
      <c r="K24" s="50">
        <v>0</v>
      </c>
      <c r="L24" s="50" t="s">
        <v>93</v>
      </c>
      <c r="M24" s="51" t="s">
        <v>71</v>
      </c>
      <c r="N24" s="51"/>
      <c r="O24" s="52" t="s">
        <v>83</v>
      </c>
      <c r="P24" s="52" t="s">
        <v>84</v>
      </c>
    </row>
    <row r="25" spans="1:16" ht="12.75" customHeight="1" thickBot="1" x14ac:dyDescent="0.25">
      <c r="A25" s="11" t="str">
        <f t="shared" si="0"/>
        <v> AN 275.40 </v>
      </c>
      <c r="B25" s="24" t="str">
        <f t="shared" si="1"/>
        <v>I</v>
      </c>
      <c r="C25" s="11">
        <f t="shared" si="2"/>
        <v>27133.314999999999</v>
      </c>
      <c r="D25" s="10" t="str">
        <f t="shared" si="3"/>
        <v>vis</v>
      </c>
      <c r="E25" s="49">
        <f>VLOOKUP(C25,Active!C$21:E$973,3,FALSE)</f>
        <v>141.9838714717003</v>
      </c>
      <c r="F25" s="24" t="s">
        <v>64</v>
      </c>
      <c r="G25" s="10" t="str">
        <f t="shared" si="4"/>
        <v>27133.315</v>
      </c>
      <c r="H25" s="11">
        <f t="shared" si="5"/>
        <v>142</v>
      </c>
      <c r="I25" s="50" t="s">
        <v>94</v>
      </c>
      <c r="J25" s="51" t="s">
        <v>95</v>
      </c>
      <c r="K25" s="50">
        <v>142</v>
      </c>
      <c r="L25" s="50" t="s">
        <v>96</v>
      </c>
      <c r="M25" s="51" t="s">
        <v>71</v>
      </c>
      <c r="N25" s="51"/>
      <c r="O25" s="52" t="s">
        <v>97</v>
      </c>
      <c r="P25" s="52" t="s">
        <v>98</v>
      </c>
    </row>
    <row r="26" spans="1:16" ht="12.75" customHeight="1" thickBot="1" x14ac:dyDescent="0.25">
      <c r="A26" s="11" t="str">
        <f t="shared" si="0"/>
        <v> MVS 666 </v>
      </c>
      <c r="B26" s="24" t="str">
        <f t="shared" si="1"/>
        <v>I</v>
      </c>
      <c r="C26" s="11">
        <f t="shared" si="2"/>
        <v>27513.429</v>
      </c>
      <c r="D26" s="10" t="str">
        <f t="shared" si="3"/>
        <v>vis</v>
      </c>
      <c r="E26" s="49">
        <f>VLOOKUP(C26,Active!C$21:E$973,3,FALSE)</f>
        <v>254.02933177853066</v>
      </c>
      <c r="F26" s="24" t="s">
        <v>64</v>
      </c>
      <c r="G26" s="10" t="str">
        <f t="shared" si="4"/>
        <v>27513.429</v>
      </c>
      <c r="H26" s="11">
        <f t="shared" si="5"/>
        <v>254</v>
      </c>
      <c r="I26" s="50" t="s">
        <v>99</v>
      </c>
      <c r="J26" s="51" t="s">
        <v>100</v>
      </c>
      <c r="K26" s="50">
        <v>254</v>
      </c>
      <c r="L26" s="50" t="s">
        <v>101</v>
      </c>
      <c r="M26" s="51" t="s">
        <v>71</v>
      </c>
      <c r="N26" s="51"/>
      <c r="O26" s="52" t="s">
        <v>83</v>
      </c>
      <c r="P26" s="52" t="s">
        <v>84</v>
      </c>
    </row>
    <row r="27" spans="1:16" ht="12.75" customHeight="1" thickBot="1" x14ac:dyDescent="0.25">
      <c r="A27" s="11" t="str">
        <f t="shared" si="0"/>
        <v> MVS 666 </v>
      </c>
      <c r="B27" s="24" t="str">
        <f t="shared" si="1"/>
        <v>I</v>
      </c>
      <c r="C27" s="11">
        <f t="shared" si="2"/>
        <v>27530.36</v>
      </c>
      <c r="D27" s="10" t="str">
        <f t="shared" si="3"/>
        <v>vis</v>
      </c>
      <c r="E27" s="49">
        <f>VLOOKUP(C27,Active!C$21:E$973,3,FALSE)</f>
        <v>259.02004953282278</v>
      </c>
      <c r="F27" s="24" t="s">
        <v>64</v>
      </c>
      <c r="G27" s="10" t="str">
        <f t="shared" si="4"/>
        <v>27530.360</v>
      </c>
      <c r="H27" s="11">
        <f t="shared" si="5"/>
        <v>259</v>
      </c>
      <c r="I27" s="50" t="s">
        <v>102</v>
      </c>
      <c r="J27" s="51" t="s">
        <v>103</v>
      </c>
      <c r="K27" s="50">
        <v>259</v>
      </c>
      <c r="L27" s="50" t="s">
        <v>104</v>
      </c>
      <c r="M27" s="51" t="s">
        <v>71</v>
      </c>
      <c r="N27" s="51"/>
      <c r="O27" s="52" t="s">
        <v>83</v>
      </c>
      <c r="P27" s="52" t="s">
        <v>84</v>
      </c>
    </row>
    <row r="28" spans="1:16" ht="12.75" customHeight="1" thickBot="1" x14ac:dyDescent="0.25">
      <c r="A28" s="11" t="str">
        <f t="shared" si="0"/>
        <v> MVS 666 </v>
      </c>
      <c r="B28" s="24" t="str">
        <f t="shared" si="1"/>
        <v>I</v>
      </c>
      <c r="C28" s="11">
        <f t="shared" si="2"/>
        <v>27842.541000000001</v>
      </c>
      <c r="D28" s="10" t="str">
        <f t="shared" si="3"/>
        <v>vis</v>
      </c>
      <c r="E28" s="49">
        <f>VLOOKUP(C28,Active!C$21:E$973,3,FALSE)</f>
        <v>351.04103230127259</v>
      </c>
      <c r="F28" s="24" t="s">
        <v>64</v>
      </c>
      <c r="G28" s="10" t="str">
        <f t="shared" si="4"/>
        <v>27842.541</v>
      </c>
      <c r="H28" s="11">
        <f t="shared" si="5"/>
        <v>351</v>
      </c>
      <c r="I28" s="50" t="s">
        <v>105</v>
      </c>
      <c r="J28" s="51" t="s">
        <v>106</v>
      </c>
      <c r="K28" s="50">
        <v>351</v>
      </c>
      <c r="L28" s="50" t="s">
        <v>107</v>
      </c>
      <c r="M28" s="51" t="s">
        <v>71</v>
      </c>
      <c r="N28" s="51"/>
      <c r="O28" s="52" t="s">
        <v>83</v>
      </c>
      <c r="P28" s="52" t="s">
        <v>84</v>
      </c>
    </row>
    <row r="29" spans="1:16" ht="12.75" customHeight="1" thickBot="1" x14ac:dyDescent="0.25">
      <c r="A29" s="11" t="str">
        <f t="shared" si="0"/>
        <v> MVS 666 </v>
      </c>
      <c r="B29" s="24" t="str">
        <f t="shared" si="1"/>
        <v>I</v>
      </c>
      <c r="C29" s="11">
        <f t="shared" si="2"/>
        <v>28164.686000000002</v>
      </c>
      <c r="D29" s="10" t="str">
        <f t="shared" si="3"/>
        <v>vis</v>
      </c>
      <c r="E29" s="49">
        <f>VLOOKUP(C29,Active!C$21:E$973,3,FALSE)</f>
        <v>445.99908386091994</v>
      </c>
      <c r="F29" s="24" t="s">
        <v>64</v>
      </c>
      <c r="G29" s="10" t="str">
        <f t="shared" si="4"/>
        <v>28164.686</v>
      </c>
      <c r="H29" s="11">
        <f t="shared" si="5"/>
        <v>446</v>
      </c>
      <c r="I29" s="50" t="s">
        <v>108</v>
      </c>
      <c r="J29" s="51" t="s">
        <v>109</v>
      </c>
      <c r="K29" s="50">
        <v>446</v>
      </c>
      <c r="L29" s="50" t="s">
        <v>66</v>
      </c>
      <c r="M29" s="51" t="s">
        <v>71</v>
      </c>
      <c r="N29" s="51"/>
      <c r="O29" s="52" t="s">
        <v>83</v>
      </c>
      <c r="P29" s="52" t="s">
        <v>84</v>
      </c>
    </row>
    <row r="30" spans="1:16" ht="12.75" customHeight="1" thickBot="1" x14ac:dyDescent="0.25">
      <c r="A30" s="11" t="str">
        <f t="shared" si="0"/>
        <v> AN 275.40 </v>
      </c>
      <c r="B30" s="24" t="str">
        <f t="shared" si="1"/>
        <v>I</v>
      </c>
      <c r="C30" s="11">
        <f t="shared" si="2"/>
        <v>29009.365000000002</v>
      </c>
      <c r="D30" s="10" t="str">
        <f t="shared" si="3"/>
        <v>vis</v>
      </c>
      <c r="E30" s="49">
        <f>VLOOKUP(C30,Active!C$21:E$973,3,FALSE)</f>
        <v>694.98346056504772</v>
      </c>
      <c r="F30" s="24" t="s">
        <v>64</v>
      </c>
      <c r="G30" s="10" t="str">
        <f t="shared" si="4"/>
        <v>29009.365</v>
      </c>
      <c r="H30" s="11">
        <f t="shared" si="5"/>
        <v>695</v>
      </c>
      <c r="I30" s="50" t="s">
        <v>110</v>
      </c>
      <c r="J30" s="51" t="s">
        <v>111</v>
      </c>
      <c r="K30" s="50">
        <v>695</v>
      </c>
      <c r="L30" s="50" t="s">
        <v>112</v>
      </c>
      <c r="M30" s="51" t="s">
        <v>71</v>
      </c>
      <c r="N30" s="51"/>
      <c r="O30" s="52" t="s">
        <v>97</v>
      </c>
      <c r="P30" s="52" t="s">
        <v>98</v>
      </c>
    </row>
    <row r="31" spans="1:16" ht="12.75" customHeight="1" thickBot="1" x14ac:dyDescent="0.25">
      <c r="A31" s="11" t="str">
        <f t="shared" si="0"/>
        <v> MVS 666 </v>
      </c>
      <c r="B31" s="24" t="str">
        <f t="shared" si="1"/>
        <v>I</v>
      </c>
      <c r="C31" s="11">
        <f t="shared" si="2"/>
        <v>30376.603999999999</v>
      </c>
      <c r="D31" s="10" t="str">
        <f t="shared" si="3"/>
        <v>vis</v>
      </c>
      <c r="E31" s="49">
        <f>VLOOKUP(C31,Active!C$21:E$973,3,FALSE)</f>
        <v>1098.0018263828015</v>
      </c>
      <c r="F31" s="24" t="s">
        <v>64</v>
      </c>
      <c r="G31" s="10" t="str">
        <f t="shared" si="4"/>
        <v>30376.604</v>
      </c>
      <c r="H31" s="11">
        <f t="shared" si="5"/>
        <v>1098</v>
      </c>
      <c r="I31" s="50" t="s">
        <v>113</v>
      </c>
      <c r="J31" s="51" t="s">
        <v>114</v>
      </c>
      <c r="K31" s="50">
        <v>1098</v>
      </c>
      <c r="L31" s="50" t="s">
        <v>115</v>
      </c>
      <c r="M31" s="51" t="s">
        <v>71</v>
      </c>
      <c r="N31" s="51"/>
      <c r="O31" s="52" t="s">
        <v>83</v>
      </c>
      <c r="P31" s="52" t="s">
        <v>84</v>
      </c>
    </row>
    <row r="32" spans="1:16" ht="12.75" customHeight="1" thickBot="1" x14ac:dyDescent="0.25">
      <c r="A32" s="11" t="str">
        <f t="shared" si="0"/>
        <v> MVS 666 </v>
      </c>
      <c r="B32" s="24" t="str">
        <f t="shared" si="1"/>
        <v>I</v>
      </c>
      <c r="C32" s="11">
        <f t="shared" si="2"/>
        <v>30780.353999999999</v>
      </c>
      <c r="D32" s="10" t="str">
        <f t="shared" si="3"/>
        <v>vis</v>
      </c>
      <c r="E32" s="49">
        <f>VLOOKUP(C32,Active!C$21:E$973,3,FALSE)</f>
        <v>1217.0144241794692</v>
      </c>
      <c r="F32" s="24" t="s">
        <v>64</v>
      </c>
      <c r="G32" s="10" t="str">
        <f t="shared" si="4"/>
        <v>30780.354</v>
      </c>
      <c r="H32" s="11">
        <f t="shared" si="5"/>
        <v>1217</v>
      </c>
      <c r="I32" s="50" t="s">
        <v>116</v>
      </c>
      <c r="J32" s="51" t="s">
        <v>117</v>
      </c>
      <c r="K32" s="50">
        <v>1217</v>
      </c>
      <c r="L32" s="50" t="s">
        <v>118</v>
      </c>
      <c r="M32" s="51" t="s">
        <v>71</v>
      </c>
      <c r="N32" s="51"/>
      <c r="O32" s="52" t="s">
        <v>83</v>
      </c>
      <c r="P32" s="52" t="s">
        <v>84</v>
      </c>
    </row>
    <row r="33" spans="1:16" ht="12.75" customHeight="1" thickBot="1" x14ac:dyDescent="0.25">
      <c r="A33" s="11" t="str">
        <f t="shared" si="0"/>
        <v> MVS 666 </v>
      </c>
      <c r="B33" s="24" t="str">
        <f t="shared" si="1"/>
        <v>I</v>
      </c>
      <c r="C33" s="11">
        <f t="shared" si="2"/>
        <v>33416.406999999999</v>
      </c>
      <c r="D33" s="10" t="str">
        <f t="shared" si="3"/>
        <v>vis</v>
      </c>
      <c r="E33" s="49">
        <f>VLOOKUP(C33,Active!C$21:E$973,3,FALSE)</f>
        <v>1994.038611076558</v>
      </c>
      <c r="F33" s="24" t="s">
        <v>64</v>
      </c>
      <c r="G33" s="10" t="str">
        <f t="shared" si="4"/>
        <v>33416.407</v>
      </c>
      <c r="H33" s="11">
        <f t="shared" si="5"/>
        <v>1994</v>
      </c>
      <c r="I33" s="50" t="s">
        <v>119</v>
      </c>
      <c r="J33" s="51" t="s">
        <v>120</v>
      </c>
      <c r="K33" s="50">
        <v>1994</v>
      </c>
      <c r="L33" s="50" t="s">
        <v>121</v>
      </c>
      <c r="M33" s="51" t="s">
        <v>71</v>
      </c>
      <c r="N33" s="51"/>
      <c r="O33" s="52" t="s">
        <v>83</v>
      </c>
      <c r="P33" s="52" t="s">
        <v>84</v>
      </c>
    </row>
    <row r="34" spans="1:16" ht="12.75" customHeight="1" thickBot="1" x14ac:dyDescent="0.25">
      <c r="A34" s="11" t="str">
        <f t="shared" si="0"/>
        <v> MVS 666 </v>
      </c>
      <c r="B34" s="24" t="str">
        <f t="shared" si="1"/>
        <v>I</v>
      </c>
      <c r="C34" s="11">
        <f t="shared" si="2"/>
        <v>34471.375999999997</v>
      </c>
      <c r="D34" s="10" t="str">
        <f t="shared" si="3"/>
        <v>vis</v>
      </c>
      <c r="E34" s="49">
        <f>VLOOKUP(C34,Active!C$21:E$973,3,FALSE)</f>
        <v>2305.0097597699391</v>
      </c>
      <c r="F34" s="24" t="s">
        <v>64</v>
      </c>
      <c r="G34" s="10" t="str">
        <f t="shared" si="4"/>
        <v>34471.376</v>
      </c>
      <c r="H34" s="11">
        <f t="shared" si="5"/>
        <v>2305</v>
      </c>
      <c r="I34" s="50" t="s">
        <v>122</v>
      </c>
      <c r="J34" s="51" t="s">
        <v>123</v>
      </c>
      <c r="K34" s="50">
        <v>2305</v>
      </c>
      <c r="L34" s="50" t="s">
        <v>124</v>
      </c>
      <c r="M34" s="51" t="s">
        <v>71</v>
      </c>
      <c r="N34" s="51"/>
      <c r="O34" s="52" t="s">
        <v>83</v>
      </c>
      <c r="P34" s="52" t="s">
        <v>84</v>
      </c>
    </row>
    <row r="35" spans="1:16" ht="12.75" customHeight="1" thickBot="1" x14ac:dyDescent="0.25">
      <c r="A35" s="11" t="str">
        <f t="shared" si="0"/>
        <v> MVS 666 </v>
      </c>
      <c r="B35" s="24" t="str">
        <f t="shared" si="1"/>
        <v>I</v>
      </c>
      <c r="C35" s="11">
        <f t="shared" si="2"/>
        <v>35821.648999999998</v>
      </c>
      <c r="D35" s="10" t="str">
        <f t="shared" si="3"/>
        <v>vis</v>
      </c>
      <c r="E35" s="49">
        <f>VLOOKUP(C35,Active!C$21:E$973,3,FALSE)</f>
        <v>2703.027090951859</v>
      </c>
      <c r="F35" s="24" t="s">
        <v>64</v>
      </c>
      <c r="G35" s="10" t="str">
        <f t="shared" si="4"/>
        <v>35821.649</v>
      </c>
      <c r="H35" s="11">
        <f t="shared" si="5"/>
        <v>2703</v>
      </c>
      <c r="I35" s="50" t="s">
        <v>125</v>
      </c>
      <c r="J35" s="51" t="s">
        <v>126</v>
      </c>
      <c r="K35" s="50">
        <v>2703</v>
      </c>
      <c r="L35" s="50" t="s">
        <v>127</v>
      </c>
      <c r="M35" s="51" t="s">
        <v>71</v>
      </c>
      <c r="N35" s="51"/>
      <c r="O35" s="52" t="s">
        <v>83</v>
      </c>
      <c r="P35" s="52" t="s">
        <v>84</v>
      </c>
    </row>
    <row r="36" spans="1:16" ht="12.75" customHeight="1" thickBot="1" x14ac:dyDescent="0.25">
      <c r="A36" s="11" t="str">
        <f t="shared" si="0"/>
        <v> MVS 666 </v>
      </c>
      <c r="B36" s="24" t="str">
        <f t="shared" si="1"/>
        <v>I</v>
      </c>
      <c r="C36" s="11">
        <f t="shared" si="2"/>
        <v>36279.550999999999</v>
      </c>
      <c r="D36" s="10" t="str">
        <f t="shared" si="3"/>
        <v>vis</v>
      </c>
      <c r="E36" s="49">
        <f>VLOOKUP(C36,Active!C$21:E$973,3,FALSE)</f>
        <v>2838.001967871463</v>
      </c>
      <c r="F36" s="24" t="s">
        <v>64</v>
      </c>
      <c r="G36" s="10" t="str">
        <f t="shared" si="4"/>
        <v>36279.551</v>
      </c>
      <c r="H36" s="11">
        <f t="shared" si="5"/>
        <v>2838</v>
      </c>
      <c r="I36" s="50" t="s">
        <v>128</v>
      </c>
      <c r="J36" s="51" t="s">
        <v>129</v>
      </c>
      <c r="K36" s="50">
        <v>2838</v>
      </c>
      <c r="L36" s="50" t="s">
        <v>130</v>
      </c>
      <c r="M36" s="51" t="s">
        <v>71</v>
      </c>
      <c r="N36" s="51"/>
      <c r="O36" s="52" t="s">
        <v>83</v>
      </c>
      <c r="P36" s="52" t="s">
        <v>84</v>
      </c>
    </row>
    <row r="37" spans="1:16" ht="12.75" customHeight="1" thickBot="1" x14ac:dyDescent="0.25">
      <c r="A37" s="11" t="str">
        <f t="shared" si="0"/>
        <v> MVS 666 </v>
      </c>
      <c r="B37" s="24" t="str">
        <f t="shared" si="1"/>
        <v>I</v>
      </c>
      <c r="C37" s="11">
        <f t="shared" si="2"/>
        <v>36876.65</v>
      </c>
      <c r="D37" s="10" t="str">
        <f t="shared" si="3"/>
        <v>vis</v>
      </c>
      <c r="E37" s="49">
        <f>VLOOKUP(C37,Active!C$21:E$973,3,FALSE)</f>
        <v>3014.0076722226522</v>
      </c>
      <c r="F37" s="24" t="s">
        <v>64</v>
      </c>
      <c r="G37" s="10" t="str">
        <f t="shared" si="4"/>
        <v>36876.650</v>
      </c>
      <c r="H37" s="11">
        <f t="shared" si="5"/>
        <v>3014</v>
      </c>
      <c r="I37" s="50" t="s">
        <v>131</v>
      </c>
      <c r="J37" s="51" t="s">
        <v>132</v>
      </c>
      <c r="K37" s="50">
        <v>3014</v>
      </c>
      <c r="L37" s="50" t="s">
        <v>133</v>
      </c>
      <c r="M37" s="51" t="s">
        <v>71</v>
      </c>
      <c r="N37" s="51"/>
      <c r="O37" s="52" t="s">
        <v>83</v>
      </c>
      <c r="P37" s="52" t="s">
        <v>84</v>
      </c>
    </row>
    <row r="38" spans="1:16" ht="12.75" customHeight="1" thickBot="1" x14ac:dyDescent="0.25">
      <c r="A38" s="11" t="str">
        <f t="shared" si="0"/>
        <v> MVS 666 </v>
      </c>
      <c r="B38" s="24" t="str">
        <f t="shared" si="1"/>
        <v>I</v>
      </c>
      <c r="C38" s="11">
        <f t="shared" si="2"/>
        <v>37368.466999999997</v>
      </c>
      <c r="D38" s="10" t="str">
        <f t="shared" si="3"/>
        <v>vis</v>
      </c>
      <c r="E38" s="49">
        <f>VLOOKUP(C38,Active!C$21:E$973,3,FALSE)</f>
        <v>3158.9796073571742</v>
      </c>
      <c r="F38" s="24" t="s">
        <v>64</v>
      </c>
      <c r="G38" s="10" t="str">
        <f t="shared" si="4"/>
        <v>37368.467</v>
      </c>
      <c r="H38" s="11">
        <f t="shared" si="5"/>
        <v>3159</v>
      </c>
      <c r="I38" s="50" t="s">
        <v>134</v>
      </c>
      <c r="J38" s="51" t="s">
        <v>135</v>
      </c>
      <c r="K38" s="50">
        <v>3159</v>
      </c>
      <c r="L38" s="50" t="s">
        <v>136</v>
      </c>
      <c r="M38" s="51" t="s">
        <v>71</v>
      </c>
      <c r="N38" s="51"/>
      <c r="O38" s="52" t="s">
        <v>83</v>
      </c>
      <c r="P38" s="52" t="s">
        <v>84</v>
      </c>
    </row>
    <row r="39" spans="1:16" ht="12.75" customHeight="1" thickBot="1" x14ac:dyDescent="0.25">
      <c r="A39" s="11" t="str">
        <f t="shared" si="0"/>
        <v> MVS 666 </v>
      </c>
      <c r="B39" s="24" t="str">
        <f t="shared" si="1"/>
        <v>I</v>
      </c>
      <c r="C39" s="11">
        <f t="shared" si="2"/>
        <v>37636.587</v>
      </c>
      <c r="D39" s="10" t="str">
        <f t="shared" si="3"/>
        <v>vis</v>
      </c>
      <c r="E39" s="49">
        <f>VLOOKUP(C39,Active!C$21:E$973,3,FALSE)</f>
        <v>3238.0128153354849</v>
      </c>
      <c r="F39" s="24" t="s">
        <v>64</v>
      </c>
      <c r="G39" s="10" t="str">
        <f t="shared" si="4"/>
        <v>37636.587</v>
      </c>
      <c r="H39" s="11">
        <f t="shared" si="5"/>
        <v>3238</v>
      </c>
      <c r="I39" s="50" t="s">
        <v>137</v>
      </c>
      <c r="J39" s="51" t="s">
        <v>138</v>
      </c>
      <c r="K39" s="50">
        <v>3238</v>
      </c>
      <c r="L39" s="50" t="s">
        <v>139</v>
      </c>
      <c r="M39" s="51" t="s">
        <v>71</v>
      </c>
      <c r="N39" s="51"/>
      <c r="O39" s="52" t="s">
        <v>83</v>
      </c>
      <c r="P39" s="52" t="s">
        <v>84</v>
      </c>
    </row>
    <row r="40" spans="1:16" ht="12.75" customHeight="1" thickBot="1" x14ac:dyDescent="0.25">
      <c r="A40" s="11" t="str">
        <f t="shared" si="0"/>
        <v> BBS 125 </v>
      </c>
      <c r="B40" s="24" t="str">
        <f t="shared" si="1"/>
        <v>I</v>
      </c>
      <c r="C40" s="11">
        <f t="shared" si="2"/>
        <v>52000.46</v>
      </c>
      <c r="D40" s="10" t="str">
        <f t="shared" si="3"/>
        <v>vis</v>
      </c>
      <c r="E40" s="49">
        <f>VLOOKUP(C40,Active!C$21:E$973,3,FALSE)</f>
        <v>7472.0235649365168</v>
      </c>
      <c r="F40" s="24" t="s">
        <v>64</v>
      </c>
      <c r="G40" s="10" t="str">
        <f t="shared" si="4"/>
        <v>52000.46</v>
      </c>
      <c r="H40" s="11">
        <f t="shared" si="5"/>
        <v>7472</v>
      </c>
      <c r="I40" s="50" t="s">
        <v>158</v>
      </c>
      <c r="J40" s="51" t="s">
        <v>159</v>
      </c>
      <c r="K40" s="50">
        <v>7472</v>
      </c>
      <c r="L40" s="50" t="s">
        <v>160</v>
      </c>
      <c r="M40" s="51" t="s">
        <v>148</v>
      </c>
      <c r="N40" s="51" t="s">
        <v>149</v>
      </c>
      <c r="O40" s="52" t="s">
        <v>161</v>
      </c>
      <c r="P40" s="52" t="s">
        <v>162</v>
      </c>
    </row>
    <row r="41" spans="1:16" ht="12.75" customHeight="1" thickBot="1" x14ac:dyDescent="0.25">
      <c r="A41" s="11" t="str">
        <f t="shared" si="0"/>
        <v>BAVM 171 </v>
      </c>
      <c r="B41" s="24" t="str">
        <f t="shared" si="1"/>
        <v>I</v>
      </c>
      <c r="C41" s="11">
        <f t="shared" si="2"/>
        <v>53055.44</v>
      </c>
      <c r="D41" s="10" t="str">
        <f t="shared" si="3"/>
        <v>vis</v>
      </c>
      <c r="E41" s="49">
        <f>VLOOKUP(C41,Active!C$21:E$973,3,FALSE)</f>
        <v>7782.997956078384</v>
      </c>
      <c r="F41" s="24" t="s">
        <v>64</v>
      </c>
      <c r="G41" s="10" t="str">
        <f t="shared" si="4"/>
        <v>53055.440</v>
      </c>
      <c r="H41" s="11">
        <f t="shared" si="5"/>
        <v>7783</v>
      </c>
      <c r="I41" s="50" t="s">
        <v>163</v>
      </c>
      <c r="J41" s="51" t="s">
        <v>164</v>
      </c>
      <c r="K41" s="50">
        <v>7783</v>
      </c>
      <c r="L41" s="50" t="s">
        <v>165</v>
      </c>
      <c r="M41" s="51" t="s">
        <v>166</v>
      </c>
      <c r="N41" s="51"/>
      <c r="O41" s="52" t="s">
        <v>167</v>
      </c>
      <c r="P41" s="53" t="s">
        <v>168</v>
      </c>
    </row>
    <row r="42" spans="1:16" ht="12.75" customHeight="1" thickBot="1" x14ac:dyDescent="0.25">
      <c r="A42" s="11" t="str">
        <f t="shared" si="0"/>
        <v>BAVM 203 </v>
      </c>
      <c r="B42" s="24" t="str">
        <f t="shared" si="1"/>
        <v>I</v>
      </c>
      <c r="C42" s="11">
        <f t="shared" si="2"/>
        <v>54212.379399999998</v>
      </c>
      <c r="D42" s="10" t="str">
        <f t="shared" si="3"/>
        <v>vis</v>
      </c>
      <c r="E42" s="49">
        <f>VLOOKUP(C42,Active!C$21:E$973,3,FALSE)</f>
        <v>8124.0267201336601</v>
      </c>
      <c r="F42" s="24" t="s">
        <v>64</v>
      </c>
      <c r="G42" s="10" t="str">
        <f t="shared" si="4"/>
        <v>54212.3794</v>
      </c>
      <c r="H42" s="11">
        <f t="shared" si="5"/>
        <v>8124</v>
      </c>
      <c r="I42" s="50" t="s">
        <v>180</v>
      </c>
      <c r="J42" s="51" t="s">
        <v>181</v>
      </c>
      <c r="K42" s="50" t="s">
        <v>182</v>
      </c>
      <c r="L42" s="50" t="s">
        <v>183</v>
      </c>
      <c r="M42" s="51" t="s">
        <v>172</v>
      </c>
      <c r="N42" s="51" t="s">
        <v>64</v>
      </c>
      <c r="O42" s="52" t="s">
        <v>184</v>
      </c>
      <c r="P42" s="53" t="s">
        <v>185</v>
      </c>
    </row>
    <row r="43" spans="1:16" ht="12.75" customHeight="1" thickBot="1" x14ac:dyDescent="0.25">
      <c r="A43" s="11" t="str">
        <f t="shared" si="0"/>
        <v>VSB 51 </v>
      </c>
      <c r="B43" s="24" t="str">
        <f t="shared" si="1"/>
        <v>I</v>
      </c>
      <c r="C43" s="11">
        <f t="shared" si="2"/>
        <v>55230.1656</v>
      </c>
      <c r="D43" s="10" t="str">
        <f t="shared" si="3"/>
        <v>vis</v>
      </c>
      <c r="E43" s="49">
        <f>VLOOKUP(C43,Active!C$21:E$973,3,FALSE)</f>
        <v>8424.0375675976829</v>
      </c>
      <c r="F43" s="24" t="s">
        <v>64</v>
      </c>
      <c r="G43" s="10" t="str">
        <f t="shared" si="4"/>
        <v>55230.1656</v>
      </c>
      <c r="H43" s="11">
        <f t="shared" si="5"/>
        <v>8424</v>
      </c>
      <c r="I43" s="50" t="s">
        <v>192</v>
      </c>
      <c r="J43" s="51" t="s">
        <v>193</v>
      </c>
      <c r="K43" s="50" t="s">
        <v>194</v>
      </c>
      <c r="L43" s="50" t="s">
        <v>195</v>
      </c>
      <c r="M43" s="51" t="s">
        <v>172</v>
      </c>
      <c r="N43" s="51" t="s">
        <v>196</v>
      </c>
      <c r="O43" s="52" t="s">
        <v>197</v>
      </c>
      <c r="P43" s="53" t="s">
        <v>198</v>
      </c>
    </row>
    <row r="44" spans="1:16" ht="12.75" customHeight="1" thickBot="1" x14ac:dyDescent="0.25">
      <c r="A44" s="11" t="str">
        <f t="shared" si="0"/>
        <v>VSB 51 </v>
      </c>
      <c r="B44" s="24" t="str">
        <f t="shared" si="1"/>
        <v>II</v>
      </c>
      <c r="C44" s="11">
        <f t="shared" si="2"/>
        <v>55286.115899999997</v>
      </c>
      <c r="D44" s="10" t="str">
        <f t="shared" si="3"/>
        <v>vis</v>
      </c>
      <c r="E44" s="49">
        <f>VLOOKUP(C44,Active!C$21:E$973,3,FALSE)</f>
        <v>8440.5299280942836</v>
      </c>
      <c r="F44" s="24" t="s">
        <v>64</v>
      </c>
      <c r="G44" s="10" t="str">
        <f t="shared" si="4"/>
        <v>55286.1159</v>
      </c>
      <c r="H44" s="11">
        <f t="shared" si="5"/>
        <v>8440.5</v>
      </c>
      <c r="I44" s="50" t="s">
        <v>204</v>
      </c>
      <c r="J44" s="51" t="s">
        <v>205</v>
      </c>
      <c r="K44" s="50" t="s">
        <v>206</v>
      </c>
      <c r="L44" s="50" t="s">
        <v>207</v>
      </c>
      <c r="M44" s="51" t="s">
        <v>172</v>
      </c>
      <c r="N44" s="51" t="s">
        <v>196</v>
      </c>
      <c r="O44" s="52" t="s">
        <v>197</v>
      </c>
      <c r="P44" s="53" t="s">
        <v>198</v>
      </c>
    </row>
    <row r="45" spans="1:16" ht="12.75" customHeight="1" thickBot="1" x14ac:dyDescent="0.25">
      <c r="A45" s="11" t="str">
        <f t="shared" si="0"/>
        <v>VSB 53 </v>
      </c>
      <c r="B45" s="24" t="str">
        <f t="shared" si="1"/>
        <v>I</v>
      </c>
      <c r="C45" s="11">
        <f t="shared" si="2"/>
        <v>55576.208100000003</v>
      </c>
      <c r="D45" s="10" t="str">
        <f t="shared" si="3"/>
        <v>vis</v>
      </c>
      <c r="E45" s="49">
        <f>VLOOKUP(C45,Active!C$21:E$973,3,FALSE)</f>
        <v>8526.0398384906948</v>
      </c>
      <c r="F45" s="24" t="s">
        <v>64</v>
      </c>
      <c r="G45" s="10" t="str">
        <f t="shared" si="4"/>
        <v>55576.2081</v>
      </c>
      <c r="H45" s="11">
        <f t="shared" si="5"/>
        <v>8526</v>
      </c>
      <c r="I45" s="50" t="s">
        <v>208</v>
      </c>
      <c r="J45" s="51" t="s">
        <v>209</v>
      </c>
      <c r="K45" s="50" t="s">
        <v>210</v>
      </c>
      <c r="L45" s="50" t="s">
        <v>211</v>
      </c>
      <c r="M45" s="51" t="s">
        <v>172</v>
      </c>
      <c r="N45" s="51" t="s">
        <v>196</v>
      </c>
      <c r="O45" s="52" t="s">
        <v>197</v>
      </c>
      <c r="P45" s="53" t="s">
        <v>212</v>
      </c>
    </row>
    <row r="46" spans="1:16" ht="12.75" customHeight="1" thickBot="1" x14ac:dyDescent="0.25">
      <c r="A46" s="11" t="str">
        <f t="shared" si="0"/>
        <v>IBVS 6029 </v>
      </c>
      <c r="B46" s="24" t="str">
        <f t="shared" si="1"/>
        <v>I</v>
      </c>
      <c r="C46" s="11">
        <f t="shared" si="2"/>
        <v>56003.716</v>
      </c>
      <c r="D46" s="10" t="str">
        <f t="shared" si="3"/>
        <v>vis</v>
      </c>
      <c r="E46" s="49">
        <f>VLOOKUP(C46,Active!C$21:E$973,3,FALSE)</f>
        <v>8652.0555060017741</v>
      </c>
      <c r="F46" s="24" t="s">
        <v>64</v>
      </c>
      <c r="G46" s="10" t="str">
        <f t="shared" si="4"/>
        <v>56003.7160</v>
      </c>
      <c r="H46" s="11">
        <f t="shared" si="5"/>
        <v>8652</v>
      </c>
      <c r="I46" s="50" t="s">
        <v>213</v>
      </c>
      <c r="J46" s="51" t="s">
        <v>214</v>
      </c>
      <c r="K46" s="50" t="s">
        <v>215</v>
      </c>
      <c r="L46" s="50" t="s">
        <v>216</v>
      </c>
      <c r="M46" s="51" t="s">
        <v>172</v>
      </c>
      <c r="N46" s="51" t="s">
        <v>64</v>
      </c>
      <c r="O46" s="52" t="s">
        <v>161</v>
      </c>
      <c r="P46" s="53" t="s">
        <v>217</v>
      </c>
    </row>
    <row r="47" spans="1:16" ht="12.75" customHeight="1" thickBot="1" x14ac:dyDescent="0.25">
      <c r="A47" s="11" t="str">
        <f t="shared" si="0"/>
        <v>VSB 55 </v>
      </c>
      <c r="B47" s="24" t="str">
        <f t="shared" si="1"/>
        <v>I</v>
      </c>
      <c r="C47" s="11">
        <f t="shared" si="2"/>
        <v>56285.252699999997</v>
      </c>
      <c r="D47" s="10" t="str">
        <f t="shared" si="3"/>
        <v>vis</v>
      </c>
      <c r="E47" s="49">
        <f>VLOOKUP(C47,Active!C$21:E$973,3,FALSE)</f>
        <v>8735.0435283970692</v>
      </c>
      <c r="F47" s="24" t="s">
        <v>64</v>
      </c>
      <c r="G47" s="10" t="str">
        <f t="shared" si="4"/>
        <v>56285.2527</v>
      </c>
      <c r="H47" s="11">
        <f t="shared" si="5"/>
        <v>8735</v>
      </c>
      <c r="I47" s="50" t="s">
        <v>218</v>
      </c>
      <c r="J47" s="51" t="s">
        <v>219</v>
      </c>
      <c r="K47" s="50" t="s">
        <v>220</v>
      </c>
      <c r="L47" s="50" t="s">
        <v>221</v>
      </c>
      <c r="M47" s="51" t="s">
        <v>172</v>
      </c>
      <c r="N47" s="51" t="s">
        <v>64</v>
      </c>
      <c r="O47" s="52" t="s">
        <v>222</v>
      </c>
      <c r="P47" s="53" t="s">
        <v>223</v>
      </c>
    </row>
    <row r="48" spans="1:16" x14ac:dyDescent="0.2">
      <c r="B48" s="24"/>
      <c r="E48" s="49"/>
      <c r="F48" s="24"/>
    </row>
    <row r="49" spans="2:6" x14ac:dyDescent="0.2">
      <c r="B49" s="24"/>
      <c r="E49" s="49"/>
      <c r="F49" s="24"/>
    </row>
    <row r="50" spans="2:6" x14ac:dyDescent="0.2">
      <c r="B50" s="24"/>
      <c r="E50" s="49"/>
      <c r="F50" s="24"/>
    </row>
    <row r="51" spans="2:6" x14ac:dyDescent="0.2">
      <c r="B51" s="24"/>
      <c r="E51" s="49"/>
      <c r="F51" s="24"/>
    </row>
    <row r="52" spans="2:6" x14ac:dyDescent="0.2">
      <c r="B52" s="24"/>
      <c r="E52" s="49"/>
      <c r="F52" s="24"/>
    </row>
    <row r="53" spans="2:6" x14ac:dyDescent="0.2">
      <c r="B53" s="24"/>
      <c r="E53" s="49"/>
      <c r="F53" s="24"/>
    </row>
    <row r="54" spans="2:6" x14ac:dyDescent="0.2">
      <c r="B54" s="24"/>
      <c r="E54" s="49"/>
      <c r="F54" s="24"/>
    </row>
    <row r="55" spans="2:6" x14ac:dyDescent="0.2">
      <c r="B55" s="24"/>
      <c r="E55" s="49"/>
      <c r="F55" s="24"/>
    </row>
    <row r="56" spans="2:6" x14ac:dyDescent="0.2">
      <c r="B56" s="24"/>
      <c r="E56" s="49"/>
      <c r="F56" s="24"/>
    </row>
    <row r="57" spans="2:6" x14ac:dyDescent="0.2">
      <c r="B57" s="24"/>
      <c r="E57" s="49"/>
      <c r="F57" s="24"/>
    </row>
    <row r="58" spans="2:6" x14ac:dyDescent="0.2">
      <c r="B58" s="24"/>
      <c r="E58" s="49"/>
      <c r="F58" s="24"/>
    </row>
    <row r="59" spans="2:6" x14ac:dyDescent="0.2">
      <c r="B59" s="24"/>
      <c r="E59" s="49"/>
      <c r="F59" s="24"/>
    </row>
    <row r="60" spans="2:6" x14ac:dyDescent="0.2">
      <c r="B60" s="24"/>
      <c r="E60" s="49"/>
      <c r="F60" s="24"/>
    </row>
    <row r="61" spans="2:6" x14ac:dyDescent="0.2">
      <c r="B61" s="24"/>
      <c r="E61" s="49"/>
      <c r="F61" s="24"/>
    </row>
    <row r="62" spans="2:6" x14ac:dyDescent="0.2">
      <c r="B62" s="24"/>
      <c r="E62" s="49"/>
      <c r="F62" s="24"/>
    </row>
    <row r="63" spans="2:6" x14ac:dyDescent="0.2">
      <c r="B63" s="24"/>
      <c r="E63" s="49"/>
      <c r="F63" s="24"/>
    </row>
    <row r="64" spans="2:6" x14ac:dyDescent="0.2">
      <c r="B64" s="24"/>
      <c r="E64" s="49"/>
      <c r="F64" s="24"/>
    </row>
    <row r="65" spans="2:6" x14ac:dyDescent="0.2">
      <c r="B65" s="24"/>
      <c r="E65" s="49"/>
      <c r="F65" s="24"/>
    </row>
    <row r="66" spans="2:6" x14ac:dyDescent="0.2">
      <c r="B66" s="24"/>
      <c r="F66" s="24"/>
    </row>
    <row r="67" spans="2:6" x14ac:dyDescent="0.2">
      <c r="B67" s="24"/>
      <c r="F67" s="24"/>
    </row>
    <row r="68" spans="2:6" x14ac:dyDescent="0.2">
      <c r="B68" s="24"/>
      <c r="F68" s="24"/>
    </row>
    <row r="69" spans="2:6" x14ac:dyDescent="0.2">
      <c r="B69" s="24"/>
      <c r="F69" s="24"/>
    </row>
    <row r="70" spans="2:6" x14ac:dyDescent="0.2">
      <c r="B70" s="24"/>
      <c r="F70" s="24"/>
    </row>
    <row r="71" spans="2:6" x14ac:dyDescent="0.2">
      <c r="B71" s="24"/>
      <c r="F71" s="24"/>
    </row>
    <row r="72" spans="2:6" x14ac:dyDescent="0.2">
      <c r="B72" s="24"/>
      <c r="F72" s="24"/>
    </row>
    <row r="73" spans="2:6" x14ac:dyDescent="0.2">
      <c r="B73" s="24"/>
      <c r="F73" s="24"/>
    </row>
    <row r="74" spans="2:6" x14ac:dyDescent="0.2">
      <c r="B74" s="24"/>
      <c r="F74" s="24"/>
    </row>
    <row r="75" spans="2:6" x14ac:dyDescent="0.2">
      <c r="B75" s="24"/>
      <c r="F75" s="24"/>
    </row>
    <row r="76" spans="2:6" x14ac:dyDescent="0.2">
      <c r="B76" s="24"/>
      <c r="F76" s="24"/>
    </row>
    <row r="77" spans="2:6" x14ac:dyDescent="0.2">
      <c r="B77" s="24"/>
      <c r="F77" s="24"/>
    </row>
    <row r="78" spans="2:6" x14ac:dyDescent="0.2">
      <c r="B78" s="24"/>
      <c r="F78" s="24"/>
    </row>
    <row r="79" spans="2:6" x14ac:dyDescent="0.2">
      <c r="B79" s="24"/>
      <c r="F79" s="24"/>
    </row>
    <row r="80" spans="2:6" x14ac:dyDescent="0.2">
      <c r="B80" s="24"/>
      <c r="F80" s="24"/>
    </row>
    <row r="81" spans="2:6" x14ac:dyDescent="0.2">
      <c r="B81" s="24"/>
      <c r="F81" s="24"/>
    </row>
    <row r="82" spans="2:6" x14ac:dyDescent="0.2">
      <c r="B82" s="24"/>
      <c r="F82" s="24"/>
    </row>
    <row r="83" spans="2:6" x14ac:dyDescent="0.2">
      <c r="B83" s="24"/>
      <c r="F83" s="24"/>
    </row>
    <row r="84" spans="2:6" x14ac:dyDescent="0.2">
      <c r="B84" s="24"/>
      <c r="F84" s="24"/>
    </row>
    <row r="85" spans="2:6" x14ac:dyDescent="0.2">
      <c r="B85" s="24"/>
      <c r="F85" s="24"/>
    </row>
    <row r="86" spans="2:6" x14ac:dyDescent="0.2">
      <c r="B86" s="24"/>
      <c r="F86" s="24"/>
    </row>
    <row r="87" spans="2:6" x14ac:dyDescent="0.2">
      <c r="B87" s="24"/>
      <c r="F87" s="24"/>
    </row>
    <row r="88" spans="2:6" x14ac:dyDescent="0.2">
      <c r="B88" s="24"/>
      <c r="F88" s="24"/>
    </row>
    <row r="89" spans="2:6" x14ac:dyDescent="0.2">
      <c r="B89" s="24"/>
      <c r="F89" s="24"/>
    </row>
    <row r="90" spans="2:6" x14ac:dyDescent="0.2">
      <c r="B90" s="24"/>
      <c r="F90" s="24"/>
    </row>
    <row r="91" spans="2:6" x14ac:dyDescent="0.2">
      <c r="B91" s="24"/>
      <c r="F91" s="24"/>
    </row>
    <row r="92" spans="2:6" x14ac:dyDescent="0.2">
      <c r="B92" s="24"/>
      <c r="F92" s="24"/>
    </row>
    <row r="93" spans="2:6" x14ac:dyDescent="0.2">
      <c r="B93" s="24"/>
      <c r="F93" s="24"/>
    </row>
    <row r="94" spans="2:6" x14ac:dyDescent="0.2">
      <c r="B94" s="24"/>
      <c r="F94" s="24"/>
    </row>
    <row r="95" spans="2:6" x14ac:dyDescent="0.2">
      <c r="B95" s="24"/>
      <c r="F95" s="24"/>
    </row>
    <row r="96" spans="2:6" x14ac:dyDescent="0.2">
      <c r="B96" s="24"/>
      <c r="F96" s="24"/>
    </row>
    <row r="97" spans="2:6" x14ac:dyDescent="0.2">
      <c r="B97" s="24"/>
      <c r="F97" s="24"/>
    </row>
    <row r="98" spans="2:6" x14ac:dyDescent="0.2">
      <c r="B98" s="24"/>
      <c r="F98" s="24"/>
    </row>
    <row r="99" spans="2:6" x14ac:dyDescent="0.2">
      <c r="B99" s="24"/>
      <c r="F99" s="24"/>
    </row>
    <row r="100" spans="2:6" x14ac:dyDescent="0.2">
      <c r="B100" s="24"/>
      <c r="F100" s="24"/>
    </row>
    <row r="101" spans="2:6" x14ac:dyDescent="0.2">
      <c r="B101" s="24"/>
      <c r="F101" s="24"/>
    </row>
    <row r="102" spans="2:6" x14ac:dyDescent="0.2">
      <c r="B102" s="24"/>
      <c r="F102" s="24"/>
    </row>
    <row r="103" spans="2:6" x14ac:dyDescent="0.2">
      <c r="B103" s="24"/>
      <c r="F103" s="24"/>
    </row>
    <row r="104" spans="2:6" x14ac:dyDescent="0.2">
      <c r="B104" s="24"/>
      <c r="F104" s="24"/>
    </row>
    <row r="105" spans="2:6" x14ac:dyDescent="0.2">
      <c r="B105" s="24"/>
      <c r="F105" s="24"/>
    </row>
    <row r="106" spans="2:6" x14ac:dyDescent="0.2">
      <c r="B106" s="24"/>
      <c r="F106" s="24"/>
    </row>
    <row r="107" spans="2:6" x14ac:dyDescent="0.2">
      <c r="B107" s="24"/>
      <c r="F107" s="24"/>
    </row>
    <row r="108" spans="2:6" x14ac:dyDescent="0.2">
      <c r="B108" s="24"/>
      <c r="F108" s="24"/>
    </row>
    <row r="109" spans="2:6" x14ac:dyDescent="0.2">
      <c r="B109" s="24"/>
      <c r="F109" s="24"/>
    </row>
    <row r="110" spans="2:6" x14ac:dyDescent="0.2">
      <c r="B110" s="24"/>
      <c r="F110" s="24"/>
    </row>
    <row r="111" spans="2:6" x14ac:dyDescent="0.2">
      <c r="B111" s="24"/>
      <c r="F111" s="24"/>
    </row>
    <row r="112" spans="2:6" x14ac:dyDescent="0.2">
      <c r="B112" s="24"/>
      <c r="F112" s="24"/>
    </row>
    <row r="113" spans="2:6" x14ac:dyDescent="0.2">
      <c r="B113" s="24"/>
      <c r="F113" s="24"/>
    </row>
    <row r="114" spans="2:6" x14ac:dyDescent="0.2">
      <c r="B114" s="24"/>
      <c r="F114" s="24"/>
    </row>
    <row r="115" spans="2:6" x14ac:dyDescent="0.2">
      <c r="B115" s="24"/>
      <c r="F115" s="24"/>
    </row>
    <row r="116" spans="2:6" x14ac:dyDescent="0.2">
      <c r="B116" s="24"/>
      <c r="F116" s="24"/>
    </row>
    <row r="117" spans="2:6" x14ac:dyDescent="0.2">
      <c r="B117" s="24"/>
      <c r="F117" s="24"/>
    </row>
    <row r="118" spans="2:6" x14ac:dyDescent="0.2">
      <c r="B118" s="24"/>
      <c r="F118" s="24"/>
    </row>
    <row r="119" spans="2:6" x14ac:dyDescent="0.2">
      <c r="B119" s="24"/>
      <c r="F119" s="24"/>
    </row>
    <row r="120" spans="2:6" x14ac:dyDescent="0.2">
      <c r="B120" s="24"/>
      <c r="F120" s="24"/>
    </row>
    <row r="121" spans="2:6" x14ac:dyDescent="0.2">
      <c r="B121" s="24"/>
      <c r="F121" s="24"/>
    </row>
    <row r="122" spans="2:6" x14ac:dyDescent="0.2">
      <c r="B122" s="24"/>
      <c r="F122" s="24"/>
    </row>
    <row r="123" spans="2:6" x14ac:dyDescent="0.2">
      <c r="B123" s="24"/>
      <c r="F123" s="24"/>
    </row>
    <row r="124" spans="2:6" x14ac:dyDescent="0.2">
      <c r="B124" s="24"/>
      <c r="F124" s="24"/>
    </row>
    <row r="125" spans="2:6" x14ac:dyDescent="0.2">
      <c r="B125" s="24"/>
      <c r="F125" s="24"/>
    </row>
    <row r="126" spans="2:6" x14ac:dyDescent="0.2">
      <c r="B126" s="24"/>
      <c r="F126" s="24"/>
    </row>
    <row r="127" spans="2:6" x14ac:dyDescent="0.2">
      <c r="B127" s="24"/>
      <c r="F127" s="24"/>
    </row>
    <row r="128" spans="2: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</sheetData>
  <phoneticPr fontId="7" type="noConversion"/>
  <hyperlinks>
    <hyperlink ref="P11" r:id="rId1" display="http://www.bav-astro.de/sfs/BAVM_link.php?BAVMnr=59" xr:uid="{00000000-0004-0000-0100-000000000000}"/>
    <hyperlink ref="P13" r:id="rId2" display="http://www.bav-astro.de/sfs/BAVM_link.php?BAVMnr=91" xr:uid="{00000000-0004-0000-0100-000001000000}"/>
    <hyperlink ref="P41" r:id="rId3" display="http://www.bav-astro.de/sfs/BAVM_link.php?BAVMnr=171" xr:uid="{00000000-0004-0000-0100-000002000000}"/>
    <hyperlink ref="P14" r:id="rId4" display="http://www.bav-astro.de/sfs/BAVM_link.php?BAVMnr=178" xr:uid="{00000000-0004-0000-0100-000003000000}"/>
    <hyperlink ref="P15" r:id="rId5" display="http://www.konkoly.hu/cgi-bin/IBVS?5713" xr:uid="{00000000-0004-0000-0100-000004000000}"/>
    <hyperlink ref="P42" r:id="rId6" display="http://www.bav-astro.de/sfs/BAVM_link.php?BAVMnr=203" xr:uid="{00000000-0004-0000-0100-000005000000}"/>
    <hyperlink ref="P16" r:id="rId7" display="http://www.bav-astro.de/sfs/BAVM_link.php?BAVMnr=201" xr:uid="{00000000-0004-0000-0100-000006000000}"/>
    <hyperlink ref="P43" r:id="rId8" display="http://vsolj.cetus-net.org/vsoljno51.pdf" xr:uid="{00000000-0004-0000-0100-000007000000}"/>
    <hyperlink ref="P17" r:id="rId9" display="http://www.konkoly.hu/cgi-bin/IBVS?5945" xr:uid="{00000000-0004-0000-0100-000008000000}"/>
    <hyperlink ref="P44" r:id="rId10" display="http://vsolj.cetus-net.org/vsoljno51.pdf" xr:uid="{00000000-0004-0000-0100-000009000000}"/>
    <hyperlink ref="P45" r:id="rId11" display="http://vsolj.cetus-net.org/vsoljno53.pdf" xr:uid="{00000000-0004-0000-0100-00000A000000}"/>
    <hyperlink ref="P46" r:id="rId12" display="http://www.konkoly.hu/cgi-bin/IBVS?6029" xr:uid="{00000000-0004-0000-0100-00000B000000}"/>
    <hyperlink ref="P47" r:id="rId13" display="http://vsolj.cetus-net.org/vsoljno55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2023-08-06T08:17:02Z</dcterms:modified>
</cp:coreProperties>
</file>