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E7BDFC2-B709-4360-8B17-F611C137E9E8}" xr6:coauthVersionLast="47" xr6:coauthVersionMax="47" xr10:uidLastSave="{00000000-0000-0000-0000-000000000000}"/>
  <bookViews>
    <workbookView xWindow="13635" yWindow="930" windowWidth="12975" windowHeight="146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48" i="1"/>
  <c r="F48" i="1" s="1"/>
  <c r="G48" i="1" s="1"/>
  <c r="K48" i="1" s="1"/>
  <c r="Q48" i="1"/>
  <c r="E49" i="1"/>
  <c r="F49" i="1" s="1"/>
  <c r="G49" i="1" s="1"/>
  <c r="K49" i="1" s="1"/>
  <c r="Q49" i="1"/>
  <c r="E53" i="1"/>
  <c r="F53" i="1"/>
  <c r="G53" i="1" s="1"/>
  <c r="K53" i="1" s="1"/>
  <c r="Q53" i="1"/>
  <c r="E54" i="1"/>
  <c r="F54" i="1"/>
  <c r="G54" i="1" s="1"/>
  <c r="K54" i="1" s="1"/>
  <c r="Q54" i="1"/>
  <c r="E47" i="1"/>
  <c r="F47" i="1" s="1"/>
  <c r="G47" i="1" s="1"/>
  <c r="K47" i="1" s="1"/>
  <c r="E50" i="1"/>
  <c r="F50" i="1" s="1"/>
  <c r="G50" i="1" s="1"/>
  <c r="K50" i="1" s="1"/>
  <c r="E51" i="1"/>
  <c r="F51" i="1" s="1"/>
  <c r="G51" i="1" s="1"/>
  <c r="K51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K39" i="1" s="1"/>
  <c r="E40" i="1"/>
  <c r="F40" i="1" s="1"/>
  <c r="G40" i="1" s="1"/>
  <c r="J40" i="1" s="1"/>
  <c r="E41" i="1"/>
  <c r="F41" i="1" s="1"/>
  <c r="G41" i="1" s="1"/>
  <c r="K41" i="1" s="1"/>
  <c r="E42" i="1"/>
  <c r="F42" i="1" s="1"/>
  <c r="G42" i="1" s="1"/>
  <c r="K42" i="1" s="1"/>
  <c r="E43" i="1"/>
  <c r="E21" i="3" s="1"/>
  <c r="E44" i="1"/>
  <c r="F44" i="1" s="1"/>
  <c r="G44" i="1" s="1"/>
  <c r="K44" i="1" s="1"/>
  <c r="E45" i="1"/>
  <c r="F45" i="1" s="1"/>
  <c r="G45" i="1" s="1"/>
  <c r="J45" i="1" s="1"/>
  <c r="E46" i="1"/>
  <c r="F46" i="1" s="1"/>
  <c r="G46" i="1" s="1"/>
  <c r="K46" i="1" s="1"/>
  <c r="E52" i="1"/>
  <c r="F52" i="1" s="1"/>
  <c r="G52" i="1" s="1"/>
  <c r="K52" i="1" s="1"/>
  <c r="Q47" i="1"/>
  <c r="Q50" i="1"/>
  <c r="Q51" i="1"/>
  <c r="Q52" i="1"/>
  <c r="D9" i="1"/>
  <c r="C9" i="1"/>
  <c r="Q46" i="1"/>
  <c r="E30" i="1"/>
  <c r="F30" i="1" s="1"/>
  <c r="G30" i="1" s="1"/>
  <c r="E31" i="1"/>
  <c r="E24" i="3" s="1"/>
  <c r="E32" i="1"/>
  <c r="F32" i="1" s="1"/>
  <c r="G32" i="1" s="1"/>
  <c r="E33" i="1"/>
  <c r="F33" i="1" s="1"/>
  <c r="G33" i="1" s="1"/>
  <c r="E34" i="1"/>
  <c r="F34" i="1"/>
  <c r="G34" i="1" s="1"/>
  <c r="E35" i="1"/>
  <c r="E15" i="3" s="1"/>
  <c r="F35" i="1"/>
  <c r="G35" i="1" s="1"/>
  <c r="E36" i="1"/>
  <c r="F36" i="1" s="1"/>
  <c r="G36" i="1" s="1"/>
  <c r="Q41" i="1"/>
  <c r="Q39" i="1"/>
  <c r="Q31" i="1"/>
  <c r="Q30" i="1"/>
  <c r="Q45" i="1"/>
  <c r="G11" i="3"/>
  <c r="C11" i="3"/>
  <c r="G22" i="3"/>
  <c r="C22" i="3"/>
  <c r="E22" i="3"/>
  <c r="G21" i="3"/>
  <c r="C21" i="3"/>
  <c r="G20" i="3"/>
  <c r="C20" i="3"/>
  <c r="G26" i="3"/>
  <c r="C26" i="3"/>
  <c r="G19" i="3"/>
  <c r="C19" i="3"/>
  <c r="E19" i="3"/>
  <c r="G25" i="3"/>
  <c r="C25" i="3"/>
  <c r="G18" i="3"/>
  <c r="C18" i="3"/>
  <c r="E18" i="3"/>
  <c r="G17" i="3"/>
  <c r="C17" i="3"/>
  <c r="G16" i="3"/>
  <c r="C16" i="3"/>
  <c r="E16" i="3"/>
  <c r="G15" i="3"/>
  <c r="C15" i="3"/>
  <c r="G14" i="3"/>
  <c r="C14" i="3"/>
  <c r="E14" i="3"/>
  <c r="G13" i="3"/>
  <c r="C13" i="3"/>
  <c r="E13" i="3"/>
  <c r="G12" i="3"/>
  <c r="C12" i="3"/>
  <c r="G24" i="3"/>
  <c r="C24" i="3"/>
  <c r="G23" i="3"/>
  <c r="C23" i="3"/>
  <c r="H11" i="3"/>
  <c r="B11" i="3"/>
  <c r="D11" i="3"/>
  <c r="A11" i="3"/>
  <c r="H22" i="3"/>
  <c r="B22" i="3"/>
  <c r="D22" i="3"/>
  <c r="A22" i="3"/>
  <c r="H21" i="3"/>
  <c r="B21" i="3"/>
  <c r="D21" i="3"/>
  <c r="A21" i="3"/>
  <c r="H20" i="3"/>
  <c r="B20" i="3"/>
  <c r="D20" i="3"/>
  <c r="A20" i="3"/>
  <c r="H26" i="3"/>
  <c r="B26" i="3"/>
  <c r="D26" i="3"/>
  <c r="A26" i="3"/>
  <c r="H19" i="3"/>
  <c r="B19" i="3"/>
  <c r="D19" i="3"/>
  <c r="A19" i="3"/>
  <c r="H25" i="3"/>
  <c r="B25" i="3"/>
  <c r="D25" i="3"/>
  <c r="A25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24" i="3"/>
  <c r="B24" i="3"/>
  <c r="D24" i="3"/>
  <c r="A24" i="3"/>
  <c r="H23" i="3"/>
  <c r="B23" i="3"/>
  <c r="D23" i="3"/>
  <c r="A23" i="3"/>
  <c r="Q33" i="1"/>
  <c r="Q32" i="1"/>
  <c r="Q43" i="1"/>
  <c r="Q44" i="1"/>
  <c r="Q42" i="1"/>
  <c r="E21" i="1"/>
  <c r="F21" i="1" s="1"/>
  <c r="G21" i="1" s="1"/>
  <c r="E22" i="1"/>
  <c r="F22" i="1"/>
  <c r="G22" i="1" s="1"/>
  <c r="E23" i="1"/>
  <c r="F23" i="1" s="1"/>
  <c r="G23" i="1" s="1"/>
  <c r="E24" i="1"/>
  <c r="F24" i="1" s="1"/>
  <c r="G24" i="1" s="1"/>
  <c r="E25" i="1"/>
  <c r="F25" i="1"/>
  <c r="G25" i="1" s="1"/>
  <c r="J25" i="1" s="1"/>
  <c r="E26" i="1"/>
  <c r="F26" i="1"/>
  <c r="G26" i="1" s="1"/>
  <c r="K26" i="1" s="1"/>
  <c r="E27" i="1"/>
  <c r="F27" i="1" s="1"/>
  <c r="G27" i="1" s="1"/>
  <c r="E28" i="1"/>
  <c r="F28" i="1" s="1"/>
  <c r="G28" i="1" s="1"/>
  <c r="E29" i="1"/>
  <c r="F29" i="1" s="1"/>
  <c r="G29" i="1" s="1"/>
  <c r="F16" i="1"/>
  <c r="F17" i="1" s="1"/>
  <c r="C17" i="1"/>
  <c r="Q40" i="1"/>
  <c r="Q38" i="1"/>
  <c r="Q29" i="1"/>
  <c r="Q21" i="1"/>
  <c r="Q22" i="1"/>
  <c r="Q23" i="1"/>
  <c r="Q24" i="1"/>
  <c r="Q25" i="1"/>
  <c r="Q26" i="1"/>
  <c r="Q27" i="1"/>
  <c r="Q28" i="1"/>
  <c r="Q34" i="1"/>
  <c r="Q35" i="1"/>
  <c r="Q36" i="1"/>
  <c r="Q37" i="1"/>
  <c r="C19" i="2"/>
  <c r="E21" i="2"/>
  <c r="F21" i="2"/>
  <c r="G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I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I30" i="2"/>
  <c r="E31" i="2"/>
  <c r="F31" i="2"/>
  <c r="G31" i="2"/>
  <c r="I31" i="2"/>
  <c r="E32" i="2"/>
  <c r="F32" i="2"/>
  <c r="G32" i="2"/>
  <c r="J32" i="2"/>
  <c r="E33" i="2"/>
  <c r="F33" i="2"/>
  <c r="G33" i="2"/>
  <c r="I33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C11" i="2"/>
  <c r="C12" i="2"/>
  <c r="C16" i="2"/>
  <c r="D18" i="2"/>
  <c r="H21" i="2"/>
  <c r="O26" i="2"/>
  <c r="R26" i="2"/>
  <c r="O33" i="2"/>
  <c r="R33" i="2"/>
  <c r="O22" i="2"/>
  <c r="R22" i="2"/>
  <c r="O23" i="2"/>
  <c r="R23" i="2"/>
  <c r="O25" i="2"/>
  <c r="R25" i="2"/>
  <c r="O31" i="2"/>
  <c r="R31" i="2"/>
  <c r="O21" i="2"/>
  <c r="R21" i="2"/>
  <c r="O24" i="2"/>
  <c r="R24" i="2"/>
  <c r="O30" i="2"/>
  <c r="R30" i="2"/>
  <c r="O32" i="2"/>
  <c r="R32" i="2"/>
  <c r="O29" i="2"/>
  <c r="R29" i="2"/>
  <c r="O27" i="2"/>
  <c r="R27" i="2"/>
  <c r="O28" i="2"/>
  <c r="R28" i="2"/>
  <c r="C15" i="2"/>
  <c r="C18" i="2"/>
  <c r="R15" i="2"/>
  <c r="R17" i="2"/>
  <c r="R16" i="2"/>
  <c r="K36" i="1" l="1"/>
  <c r="R36" i="1"/>
  <c r="R22" i="1"/>
  <c r="K22" i="1"/>
  <c r="R27" i="1"/>
  <c r="K27" i="1"/>
  <c r="R32" i="1"/>
  <c r="K32" i="1"/>
  <c r="F31" i="1"/>
  <c r="G31" i="1" s="1"/>
  <c r="K31" i="1" s="1"/>
  <c r="E12" i="3"/>
  <c r="E20" i="3"/>
  <c r="R28" i="1"/>
  <c r="K28" i="1"/>
  <c r="R34" i="1"/>
  <c r="J34" i="1"/>
  <c r="K24" i="1"/>
  <c r="R24" i="1"/>
  <c r="R33" i="1"/>
  <c r="K33" i="1"/>
  <c r="R23" i="1"/>
  <c r="K23" i="1"/>
  <c r="J35" i="1"/>
  <c r="R35" i="1"/>
  <c r="K30" i="1"/>
  <c r="R30" i="1"/>
  <c r="K29" i="1"/>
  <c r="R29" i="1"/>
  <c r="K21" i="1"/>
  <c r="R21" i="1"/>
  <c r="E17" i="3"/>
  <c r="R31" i="1"/>
  <c r="R26" i="1"/>
  <c r="E11" i="3"/>
  <c r="E26" i="3"/>
  <c r="E25" i="3"/>
  <c r="F43" i="1"/>
  <c r="G43" i="1" s="1"/>
  <c r="R25" i="1"/>
  <c r="E23" i="3"/>
  <c r="C11" i="1"/>
  <c r="C12" i="1"/>
  <c r="C16" i="1" l="1"/>
  <c r="D18" i="1" s="1"/>
  <c r="O46" i="1"/>
  <c r="R46" i="1" s="1"/>
  <c r="O39" i="1"/>
  <c r="R39" i="1" s="1"/>
  <c r="O47" i="1"/>
  <c r="R47" i="1" s="1"/>
  <c r="O54" i="1"/>
  <c r="R54" i="1" s="1"/>
  <c r="O51" i="1"/>
  <c r="R51" i="1" s="1"/>
  <c r="O37" i="1"/>
  <c r="R37" i="1" s="1"/>
  <c r="O52" i="1"/>
  <c r="R52" i="1" s="1"/>
  <c r="O43" i="1"/>
  <c r="R43" i="1" s="1"/>
  <c r="O49" i="1"/>
  <c r="R49" i="1" s="1"/>
  <c r="O55" i="1"/>
  <c r="R55" i="1" s="1"/>
  <c r="O53" i="1"/>
  <c r="R53" i="1" s="1"/>
  <c r="O45" i="1"/>
  <c r="R45" i="1" s="1"/>
  <c r="O38" i="1"/>
  <c r="R38" i="1" s="1"/>
  <c r="O41" i="1"/>
  <c r="R41" i="1" s="1"/>
  <c r="O40" i="1"/>
  <c r="R40" i="1" s="1"/>
  <c r="C15" i="1"/>
  <c r="F18" i="1" s="1"/>
  <c r="O48" i="1"/>
  <c r="R48" i="1" s="1"/>
  <c r="O44" i="1"/>
  <c r="R44" i="1" s="1"/>
  <c r="O50" i="1"/>
  <c r="R50" i="1" s="1"/>
  <c r="O42" i="1"/>
  <c r="R42" i="1" s="1"/>
  <c r="J43" i="1"/>
  <c r="R15" i="1" l="1"/>
  <c r="R16" i="1"/>
  <c r="F19" i="1"/>
  <c r="C18" i="1"/>
  <c r="R17" i="1" l="1"/>
</calcChain>
</file>

<file path=xl/sharedStrings.xml><?xml version="1.0" encoding="utf-8"?>
<sst xmlns="http://schemas.openxmlformats.org/spreadsheetml/2006/main" count="319" uniqueCount="172">
  <si>
    <t>IBVS 6244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</si>
  <si>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</si>
  <si>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</si>
  <si>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</si>
  <si>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</si>
  <si>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</si>
  <si>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</si>
  <si>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</si>
  <si>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</si>
  <si>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</si>
  <si>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</si>
  <si>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</si>
  <si>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</si>
  <si>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</si>
  <si>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</si>
  <si>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</si>
  <si>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</si>
  <si>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</si>
  <si>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</si>
  <si>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</si>
  <si>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</si>
  <si>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</si>
  <si>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</si>
  <si>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</si>
  <si>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</si>
  <si>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</si>
  <si>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</si>
  <si>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</si>
  <si>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</si>
  <si>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</si>
  <si>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</si>
  <si>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</si>
  <si>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HIP</t>
  </si>
  <si>
    <t>IBVS 4702</t>
  </si>
  <si>
    <t>I</t>
  </si>
  <si>
    <t>IBVS 5407</t>
  </si>
  <si>
    <t>II</t>
  </si>
  <si>
    <t>Krajci, priv.comm.</t>
  </si>
  <si>
    <t>IBVS 5657</t>
  </si>
  <si>
    <t>Krajci</t>
  </si>
  <si>
    <t>ET Leo / GSC 01424-00076</t>
  </si>
  <si>
    <t>EW?</t>
  </si>
  <si>
    <t>Sum</t>
  </si>
  <si>
    <t>Count</t>
  </si>
  <si>
    <t>RMS dev'n</t>
  </si>
  <si>
    <t>not avail.</t>
  </si>
  <si>
    <t>This is the poorer fit</t>
  </si>
  <si>
    <t>See page B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</si>
  <si>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</si>
  <si>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</si>
  <si>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</si>
  <si>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</si>
  <si>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</si>
  <si>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</si>
  <si>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</si>
  <si>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</si>
  <si>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</si>
  <si>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</si>
  <si>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</si>
  <si>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OEJV 0094</t>
  </si>
  <si>
    <t>IBVS 6050</t>
  </si>
  <si>
    <t>IBVS 6048</t>
  </si>
  <si>
    <t>IBVS 6153</t>
  </si>
  <si>
    <t>VSX</t>
  </si>
  <si>
    <t>Better period, also in VSX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</si>
  <si>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</si>
  <si>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</si>
  <si>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</si>
  <si>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</si>
  <si>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</si>
  <si>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</si>
  <si>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</si>
  <si>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</si>
  <si>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</si>
  <si>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</si>
  <si>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</si>
  <si>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</si>
  <si>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</si>
  <si>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2452349.9762 </t>
  </si>
  <si>
    <t> 16.03.2002 11:25 </t>
  </si>
  <si>
    <t> -0.0042 </t>
  </si>
  <si>
    <t>E </t>
  </si>
  <si>
    <t>?</t>
  </si>
  <si>
    <t> Nakajima </t>
  </si>
  <si>
    <t>VSB 40 </t>
  </si>
  <si>
    <t>2452354.1291 </t>
  </si>
  <si>
    <t> 20.03.2002 15:05 </t>
  </si>
  <si>
    <t> -0.0093 </t>
  </si>
  <si>
    <t>2452724.3704 </t>
  </si>
  <si>
    <t> 25.03.2003 20:53 </t>
  </si>
  <si>
    <t> -0.0073 </t>
  </si>
  <si>
    <t>C </t>
  </si>
  <si>
    <t>BVRI</t>
  </si>
  <si>
    <t> M.Petropoulou et al. </t>
  </si>
  <si>
    <t>IBVS 6153 </t>
  </si>
  <si>
    <t>2452724.5447 </t>
  </si>
  <si>
    <t> 26.03.2003 01:04 </t>
  </si>
  <si>
    <t> -0.0063 </t>
  </si>
  <si>
    <t>2452726.2833 </t>
  </si>
  <si>
    <t> 27.03.2003 18:47 </t>
  </si>
  <si>
    <t> -0.0002 </t>
  </si>
  <si>
    <t> T.Tanriverdi et al. </t>
  </si>
  <si>
    <t>IBVS 5407 </t>
  </si>
  <si>
    <t>2452726.4488 </t>
  </si>
  <si>
    <t> 27.03.2003 22:46 </t>
  </si>
  <si>
    <t> -0.0079 </t>
  </si>
  <si>
    <t>2453141.2250 </t>
  </si>
  <si>
    <t> 15.05.2004 17:24 </t>
  </si>
  <si>
    <t> 0.0032 </t>
  </si>
  <si>
    <t> T.Krajci </t>
  </si>
  <si>
    <t>IBVS 5592 </t>
  </si>
  <si>
    <t>2453476.4595 </t>
  </si>
  <si>
    <t> 15.04.2005 23:01 </t>
  </si>
  <si>
    <t> -0.0047 </t>
  </si>
  <si>
    <t> F.Agerer </t>
  </si>
  <si>
    <t>BAVM 173 </t>
  </si>
  <si>
    <t>2453833.3687 </t>
  </si>
  <si>
    <t> 07.04.2006 20:50 </t>
  </si>
  <si>
    <t> 0.0056 </t>
  </si>
  <si>
    <t>-I</t>
  </si>
  <si>
    <t> F.Walter </t>
  </si>
  <si>
    <t>BAVM 178 </t>
  </si>
  <si>
    <t>2454132.2229 </t>
  </si>
  <si>
    <t> 31.01.2007 17:20 </t>
  </si>
  <si>
    <t>4709.5</t>
  </si>
  <si>
    <t> 0.0003 </t>
  </si>
  <si>
    <t>Ic</t>
  </si>
  <si>
    <t> K.Nakajima </t>
  </si>
  <si>
    <t>VSB 46 </t>
  </si>
  <si>
    <t>2454193.3893 </t>
  </si>
  <si>
    <t> 02.04.2007 21:20 </t>
  </si>
  <si>
    <t>4886</t>
  </si>
  <si>
    <t> 0.0087 </t>
  </si>
  <si>
    <t>o</t>
  </si>
  <si>
    <t> H.Jungbluth </t>
  </si>
  <si>
    <t>BAVM 186 </t>
  </si>
  <si>
    <t>2454497.2730 </t>
  </si>
  <si>
    <t> 31.01.2008 18:33 </t>
  </si>
  <si>
    <t>5763</t>
  </si>
  <si>
    <t> 0.0086 </t>
  </si>
  <si>
    <t>VSB 48 </t>
  </si>
  <si>
    <t>2454583.3843 </t>
  </si>
  <si>
    <t> 26.04.2008 21:13 </t>
  </si>
  <si>
    <t>6011.5</t>
  </si>
  <si>
    <t> 0.0137 </t>
  </si>
  <si>
    <t>R</t>
  </si>
  <si>
    <t> L.Brát </t>
  </si>
  <si>
    <t>OEJV 0094 </t>
  </si>
  <si>
    <t>2456008.3665 </t>
  </si>
  <si>
    <t> 21.03.2012 20:47 </t>
  </si>
  <si>
    <t>10124</t>
  </si>
  <si>
    <t> -0.0010 </t>
  </si>
  <si>
    <t> W.Moschner &amp; P.Frank </t>
  </si>
  <si>
    <t>BAVM 228 </t>
  </si>
  <si>
    <t>2456013.735 </t>
  </si>
  <si>
    <t> 27.03.2012 05:38 </t>
  </si>
  <si>
    <t>10139.5</t>
  </si>
  <si>
    <t> R.Nelson </t>
  </si>
  <si>
    <t>IBVS 6050 </t>
  </si>
  <si>
    <t>2457132.4159 </t>
  </si>
  <si>
    <t> 19.04.2015 21:58 </t>
  </si>
  <si>
    <t>13368</t>
  </si>
  <si>
    <t> -0.0099 </t>
  </si>
  <si>
    <t>BAVM 241 (=IBVS 6157) </t>
  </si>
  <si>
    <t>IBVS 6195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</si>
  <si>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</si>
  <si>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</si>
  <si>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t>RHN 2019</t>
  </si>
  <si>
    <t>IBVS 6262</t>
  </si>
  <si>
    <t>OEJV 0211</t>
  </si>
  <si>
    <t>VSB 067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</si>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</sst>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4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 Unicode MS"/>
    </font>
    <font>
      <b/>
      <sz val="10"/>
      <color indexed="12"/>
      <name val="Arial"/>
      <family val="2"/>
    </font>
    <font>
      <strike/>
      <sz val="10"/>
      <color indexed="10"/>
      <name val="Arial"/>
      <family val="2"/>
    </font>
    <font>
      <strike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0" xfId="0" applyFont="1" applyAlignment="1"/>
    <xf numFmtId="172" fontId="0" fillId="0" borderId="0" xfId="0" applyNumberFormat="1" applyAlignment="1"/>
    <xf numFmtId="0" fontId="1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5" fillId="0" borderId="10" xfId="0" applyFont="1" applyBorder="1" applyAlignment="1"/>
    <xf numFmtId="0" fontId="15" fillId="0" borderId="11" xfId="0" applyFont="1" applyBorder="1" applyAlignment="1"/>
    <xf numFmtId="0" fontId="0" fillId="0" borderId="0" xfId="0">
      <alignment vertical="top"/>
    </xf>
    <xf numFmtId="0" fontId="17" fillId="0" borderId="0" xfId="0" applyFont="1" applyAlignment="1">
      <alignment horizontal="left"/>
    </xf>
    <xf numFmtId="172" fontId="17" fillId="0" borderId="0" xfId="0" applyNumberFormat="1" applyFont="1" applyAlignment="1">
      <alignment horizontal="left"/>
    </xf>
    <xf numFmtId="0" fontId="18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9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>
      <alignment vertical="top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6" fillId="24" borderId="18" xfId="38" applyFill="1" applyBorder="1" applyAlignment="1" applyProtection="1">
      <alignment horizontal="right" vertical="top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3" fillId="0" borderId="0" xfId="43" applyFont="1" applyAlignment="1">
      <alignment horizontal="left"/>
    </xf>
    <xf numFmtId="0" fontId="43" fillId="0" borderId="0" xfId="43" applyFont="1" applyAlignment="1">
      <alignment horizontal="center" wrapText="1"/>
    </xf>
    <xf numFmtId="0" fontId="43" fillId="0" borderId="0" xfId="43" applyFont="1" applyAlignment="1">
      <alignment horizontal="left" wrapText="1"/>
    </xf>
    <xf numFmtId="0" fontId="43" fillId="0" borderId="0" xfId="43" applyFont="1" applyAlignment="1">
      <alignment horizontal="center"/>
    </xf>
    <xf numFmtId="0" fontId="43" fillId="0" borderId="0" xfId="42" applyFont="1"/>
    <xf numFmtId="0" fontId="43" fillId="0" borderId="0" xfId="42" applyFont="1" applyAlignment="1">
      <alignment horizontal="center"/>
    </xf>
    <xf numFmtId="0" fontId="43" fillId="0" borderId="0" xfId="42" applyFont="1" applyAlignment="1">
      <alignment horizontal="left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77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Leo - O-C Diagr.</a:t>
            </a:r>
          </a:p>
        </c:rich>
      </c:tx>
      <c:layout>
        <c:manualLayout>
          <c:xMode val="edge"/>
          <c:yMode val="edge"/>
          <c:x val="0.373737903974124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634168126798494"/>
          <c:w val="0.8013481187988590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6-4354-A6B9-9DE112C7B4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6-4354-A6B9-9DE112C7B4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-6.6700000024866313E-3</c:v>
                </c:pt>
                <c:pt idx="13">
                  <c:v>2.0336000001407228E-2</c:v>
                </c:pt>
                <c:pt idx="14">
                  <c:v>1.2584999996761326E-2</c:v>
                </c:pt>
                <c:pt idx="16">
                  <c:v>1.9705999999132473E-2</c:v>
                </c:pt>
                <c:pt idx="17">
                  <c:v>3.1845999998040497E-2</c:v>
                </c:pt>
                <c:pt idx="19">
                  <c:v>3.6868000002868939E-2</c:v>
                </c:pt>
                <c:pt idx="22">
                  <c:v>3.6591999996744562E-2</c:v>
                </c:pt>
                <c:pt idx="24">
                  <c:v>3.3503999999084044E-2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76-4354-A6B9-9DE112C7B4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-2.179000002797693E-3</c:v>
                </c:pt>
                <c:pt idx="1">
                  <c:v>-1.3285000000905711E-2</c:v>
                </c:pt>
                <c:pt idx="2">
                  <c:v>4.3649999934132211E-3</c:v>
                </c:pt>
                <c:pt idx="3">
                  <c:v>-1.2570000035339035E-3</c:v>
                </c:pt>
                <c:pt idx="5">
                  <c:v>-3.4270000032847747E-3</c:v>
                </c:pt>
                <c:pt idx="6">
                  <c:v>1.6069999997853301E-2</c:v>
                </c:pt>
                <c:pt idx="7">
                  <c:v>1.3714000000618398E-2</c:v>
                </c:pt>
                <c:pt idx="8">
                  <c:v>-6.0060000032535754E-3</c:v>
                </c:pt>
                <c:pt idx="9">
                  <c:v>1.4407999995455611E-2</c:v>
                </c:pt>
                <c:pt idx="10">
                  <c:v>9.2839999997522682E-3</c:v>
                </c:pt>
                <c:pt idx="11">
                  <c:v>1.3197000000218395E-2</c:v>
                </c:pt>
                <c:pt idx="12">
                  <c:v>1.424599999882048E-2</c:v>
                </c:pt>
                <c:pt idx="15">
                  <c:v>2.589099999750033E-2</c:v>
                </c:pt>
                <c:pt idx="18">
                  <c:v>2.8071000000636559E-2</c:v>
                </c:pt>
                <c:pt idx="20">
                  <c:v>3.8313999997626524E-2</c:v>
                </c:pt>
                <c:pt idx="21">
                  <c:v>4.3866999993042555E-2</c:v>
                </c:pt>
                <c:pt idx="23">
                  <c:v>3.431099999579601E-2</c:v>
                </c:pt>
                <c:pt idx="25">
                  <c:v>3.995299999951385E-2</c:v>
                </c:pt>
                <c:pt idx="26">
                  <c:v>3.8230999998631887E-2</c:v>
                </c:pt>
                <c:pt idx="27">
                  <c:v>3.7257999822031707E-2</c:v>
                </c:pt>
                <c:pt idx="28">
                  <c:v>4.5060000098601449E-2</c:v>
                </c:pt>
                <c:pt idx="29">
                  <c:v>4.4635999947786331E-2</c:v>
                </c:pt>
                <c:pt idx="30">
                  <c:v>3.9690000012342352E-2</c:v>
                </c:pt>
                <c:pt idx="31">
                  <c:v>4.0854999999282882E-2</c:v>
                </c:pt>
                <c:pt idx="32">
                  <c:v>3.6520000001473818E-2</c:v>
                </c:pt>
                <c:pt idx="33">
                  <c:v>3.689200000371784E-2</c:v>
                </c:pt>
                <c:pt idx="34">
                  <c:v>4.6297000000777189E-2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76-4354-A6B9-9DE112C7B4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76-4354-A6B9-9DE112C7B4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76-4354-A6B9-9DE112C7B4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76-4354-A6B9-9DE112C7B4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16">
                  <c:v>3.0981681098480953E-2</c:v>
                </c:pt>
                <c:pt idx="17">
                  <c:v>3.1688470919116321E-2</c:v>
                </c:pt>
                <c:pt idx="18">
                  <c:v>3.2280321618434776E-2</c:v>
                </c:pt>
                <c:pt idx="19">
                  <c:v>3.2401436573135892E-2</c:v>
                </c:pt>
                <c:pt idx="20">
                  <c:v>3.300323722623999E-2</c:v>
                </c:pt>
                <c:pt idx="21">
                  <c:v>3.3173758848014635E-2</c:v>
                </c:pt>
                <c:pt idx="22">
                  <c:v>3.5995771602735968E-2</c:v>
                </c:pt>
                <c:pt idx="23">
                  <c:v>3.6006407760230966E-2</c:v>
                </c:pt>
                <c:pt idx="24">
                  <c:v>3.8221816435882711E-2</c:v>
                </c:pt>
                <c:pt idx="25">
                  <c:v>3.9423016029108165E-2</c:v>
                </c:pt>
                <c:pt idx="26">
                  <c:v>3.9602115197249751E-2</c:v>
                </c:pt>
                <c:pt idx="27">
                  <c:v>3.9623730614094424E-2</c:v>
                </c:pt>
                <c:pt idx="28">
                  <c:v>3.9640199503118936E-2</c:v>
                </c:pt>
                <c:pt idx="29">
                  <c:v>4.0235138119129488E-2</c:v>
                </c:pt>
                <c:pt idx="30">
                  <c:v>4.0250920804444645E-2</c:v>
                </c:pt>
                <c:pt idx="31">
                  <c:v>4.0280084462092219E-2</c:v>
                </c:pt>
                <c:pt idx="32">
                  <c:v>4.0995451829094524E-2</c:v>
                </c:pt>
                <c:pt idx="33">
                  <c:v>4.1554021648509271E-2</c:v>
                </c:pt>
                <c:pt idx="34">
                  <c:v>4.3113419578017897E-2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76-4354-A6B9-9DE112C7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2512"/>
        <c:axId val="1"/>
      </c:scatterChart>
      <c:valAx>
        <c:axId val="73663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5551136913"/>
          <c:y val="0.92073298764483702"/>
          <c:w val="0.7037049409227886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Leo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-7.821997519931756E-2</c:v>
                </c:pt>
                <c:pt idx="1">
                  <c:v>5.6890003841544967E-2</c:v>
                </c:pt>
                <c:pt idx="2">
                  <c:v>6.4790008560521528E-2</c:v>
                </c:pt>
                <c:pt idx="3">
                  <c:v>8.0050013762956951E-2</c:v>
                </c:pt>
                <c:pt idx="4">
                  <c:v>6.0900145253981464E-3</c:v>
                </c:pt>
                <c:pt idx="6">
                  <c:v>-5.283998199593043E-2</c:v>
                </c:pt>
                <c:pt idx="7">
                  <c:v>3.9920022754813544E-2</c:v>
                </c:pt>
                <c:pt idx="8">
                  <c:v>-3.9199771708808839E-3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E-42A8-B8E5-5227E1FF886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5">
                  <c:v>2.590001674980158E-2</c:v>
                </c:pt>
                <c:pt idx="9">
                  <c:v>-3.5699868793017231E-2</c:v>
                </c:pt>
                <c:pt idx="10">
                  <c:v>-3.5699868793017231E-2</c:v>
                </c:pt>
                <c:pt idx="12">
                  <c:v>-7.0999848481733352E-2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E-42A8-B8E5-5227E1FF886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11">
                  <c:v>-2.4998575609060936E-3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E-42A8-B8E5-5227E1FF886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E-42A8-B8E5-5227E1FF886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E-42A8-B8E5-5227E1FF886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E-42A8-B8E5-5227E1FF886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E-42A8-B8E5-5227E1FF886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1.3145748109385114E-2</c:v>
                </c:pt>
                <c:pt idx="1">
                  <c:v>2.2922768544957547E-2</c:v>
                </c:pt>
                <c:pt idx="2">
                  <c:v>2.0721527895255221E-2</c:v>
                </c:pt>
                <c:pt idx="3">
                  <c:v>1.8292428526827775E-2</c:v>
                </c:pt>
                <c:pt idx="4">
                  <c:v>1.7937052543495015E-2</c:v>
                </c:pt>
                <c:pt idx="5">
                  <c:v>1.6902281297908453E-2</c:v>
                </c:pt>
                <c:pt idx="6">
                  <c:v>1.631695614888979E-2</c:v>
                </c:pt>
                <c:pt idx="7">
                  <c:v>1.4101082370462002E-2</c:v>
                </c:pt>
                <c:pt idx="8">
                  <c:v>1.4065544772128727E-2</c:v>
                </c:pt>
                <c:pt idx="9">
                  <c:v>-3.6481462739554271E-2</c:v>
                </c:pt>
                <c:pt idx="10">
                  <c:v>-3.6483553186515055E-2</c:v>
                </c:pt>
                <c:pt idx="11">
                  <c:v>-4.1722213270232081E-2</c:v>
                </c:pt>
                <c:pt idx="12">
                  <c:v>-4.5957458812774257E-2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E-42A8-B8E5-5227E1FF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29560"/>
        <c:axId val="1"/>
      </c:scatterChart>
      <c:valAx>
        <c:axId val="73662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2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870776249899294"/>
          <c:y val="0.92073298764483702"/>
          <c:w val="0.90791667196689263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66675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35103B-5EAE-03FA-04B2-F432E609B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05D40EE-6578-FF63-BD8A-B81DE15AC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6153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vsolj.cetus-net.org/no48.pdf" TargetMode="External"/><Relationship Id="rId2" Type="http://schemas.openxmlformats.org/officeDocument/2006/relationships/hyperlink" Target="http://vsolj.cetus-net.org/no40.pdf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www.konkoly.hu/cgi-bin/IBVS?5407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407" TargetMode="External"/><Relationship Id="rId15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6153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S59"/>
  <sheetViews>
    <sheetView tabSelected="1" workbookViewId="0">
      <pane xSplit="14" ySplit="21" topLeftCell="O4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40</v>
      </c>
    </row>
    <row r="2" spans="1:18">
      <c r="A2" t="s">
        <v>26</v>
      </c>
      <c r="B2" s="15" t="s">
        <v>41</v>
      </c>
      <c r="C2" s="9"/>
    </row>
    <row r="3" spans="1:18" ht="13.5" thickBot="1">
      <c r="C3" s="9"/>
    </row>
    <row r="4" spans="1:18" ht="14.25" thickTop="1" thickBot="1">
      <c r="A4" s="6" t="s">
        <v>2</v>
      </c>
      <c r="C4" s="16" t="s">
        <v>45</v>
      </c>
      <c r="D4" s="17" t="s">
        <v>45</v>
      </c>
    </row>
    <row r="5" spans="1:18" ht="13.5" thickTop="1">
      <c r="A5" s="25" t="s">
        <v>50</v>
      </c>
      <c r="B5" s="22"/>
      <c r="C5" s="26">
        <v>-9.5</v>
      </c>
      <c r="D5" s="22" t="s">
        <v>51</v>
      </c>
    </row>
    <row r="6" spans="1:18">
      <c r="A6" s="6" t="s">
        <v>3</v>
      </c>
    </row>
    <row r="7" spans="1:18">
      <c r="A7" t="s">
        <v>4</v>
      </c>
      <c r="C7" s="41">
        <v>47881.472000000002</v>
      </c>
      <c r="D7" s="56" t="s">
        <v>64</v>
      </c>
    </row>
    <row r="8" spans="1:18">
      <c r="A8" t="s">
        <v>5</v>
      </c>
      <c r="C8">
        <v>0.34650199999999998</v>
      </c>
      <c r="D8" s="18" t="s">
        <v>63</v>
      </c>
    </row>
    <row r="9" spans="1:18">
      <c r="A9" s="39" t="s">
        <v>58</v>
      </c>
      <c r="B9" s="40">
        <v>37</v>
      </c>
      <c r="C9" s="37" t="str">
        <f>"F"&amp;B9</f>
        <v>F37</v>
      </c>
      <c r="D9" s="38" t="str">
        <f>"G"&amp;B9</f>
        <v>G37</v>
      </c>
    </row>
    <row r="10" spans="1:18" ht="13.5" thickBot="1">
      <c r="A10" s="22"/>
      <c r="B10" s="22"/>
      <c r="C10" s="5" t="s">
        <v>21</v>
      </c>
      <c r="D10" s="5" t="s">
        <v>22</v>
      </c>
      <c r="E10" s="22"/>
    </row>
    <row r="11" spans="1:18">
      <c r="A11" s="22" t="s">
        <v>17</v>
      </c>
      <c r="B11" s="22"/>
      <c r="C11" s="36">
        <f ca="1">INTERCEPT(INDIRECT($D$9):G991,INDIRECT($C$9):F991)</f>
        <v>1.9901549803530129E-2</v>
      </c>
      <c r="D11" s="4"/>
      <c r="E11" s="22"/>
    </row>
    <row r="12" spans="1:18">
      <c r="A12" s="22" t="s">
        <v>18</v>
      </c>
      <c r="B12" s="22"/>
      <c r="C12" s="36">
        <f ca="1">SLOPE(INDIRECT($D$9):G991,INDIRECT($C$9):F991)</f>
        <v>6.8620370935472988E-7</v>
      </c>
      <c r="D12" s="4"/>
      <c r="E12" s="22"/>
    </row>
    <row r="13" spans="1:18">
      <c r="A13" s="22" t="s">
        <v>20</v>
      </c>
      <c r="B13" s="22"/>
      <c r="C13" s="4" t="s">
        <v>15</v>
      </c>
    </row>
    <row r="14" spans="1:18">
      <c r="A14" s="22"/>
      <c r="B14" s="22"/>
      <c r="C14" s="22"/>
    </row>
    <row r="15" spans="1:18">
      <c r="A15" s="27" t="s">
        <v>19</v>
      </c>
      <c r="B15" s="22"/>
      <c r="C15" s="28">
        <f ca="1">(C7+C11)+(C8+C12)*INT(MAX(F21:F3532))</f>
        <v>59602.291765076472</v>
      </c>
      <c r="E15" s="29" t="s">
        <v>56</v>
      </c>
      <c r="F15" s="26">
        <v>1</v>
      </c>
      <c r="Q15" t="s">
        <v>42</v>
      </c>
      <c r="R15">
        <f ca="1">SUM(R21:R1290)</f>
        <v>3.0955834244515332E-3</v>
      </c>
    </row>
    <row r="16" spans="1:18">
      <c r="A16" s="31" t="s">
        <v>6</v>
      </c>
      <c r="B16" s="22"/>
      <c r="C16" s="32">
        <f ca="1">+C8+C12</f>
        <v>0.34650268620370933</v>
      </c>
      <c r="E16" s="29" t="s">
        <v>52</v>
      </c>
      <c r="F16" s="30">
        <f ca="1">NOW()+15018.5+$C$5/24</f>
        <v>59961.705517476847</v>
      </c>
      <c r="Q16" t="s">
        <v>43</v>
      </c>
      <c r="R16">
        <f ca="1">COUNT(R21:R1267)</f>
        <v>35</v>
      </c>
    </row>
    <row r="17" spans="1:19" ht="13.5" thickBot="1">
      <c r="A17" s="29" t="s">
        <v>48</v>
      </c>
      <c r="B17" s="22"/>
      <c r="C17" s="22">
        <f>COUNT(C21:C2190)</f>
        <v>35</v>
      </c>
      <c r="E17" s="29" t="s">
        <v>57</v>
      </c>
      <c r="F17" s="30">
        <f ca="1">ROUND(2*(F16-$C$7)/$C$8,0)/2+F15</f>
        <v>34864.5</v>
      </c>
      <c r="Q17" t="s">
        <v>44</v>
      </c>
      <c r="R17">
        <f ca="1">SQRT(R15/(R16-1))</f>
        <v>9.5418327017087259E-3</v>
      </c>
    </row>
    <row r="18" spans="1:19" ht="14.25" thickTop="1" thickBot="1">
      <c r="A18" s="31" t="s">
        <v>7</v>
      </c>
      <c r="B18" s="22"/>
      <c r="C18" s="34">
        <f ca="1">+C15</f>
        <v>59602.291765076472</v>
      </c>
      <c r="D18" s="35">
        <f ca="1">+C16</f>
        <v>0.34650268620370933</v>
      </c>
      <c r="E18" s="29" t="s">
        <v>53</v>
      </c>
      <c r="F18" s="38">
        <f ca="1">ROUND(2*(F16-$C$15)/$C$16,0)/2+F15</f>
        <v>1038.5</v>
      </c>
    </row>
    <row r="19" spans="1:19" ht="13.5" thickTop="1">
      <c r="E19" s="29" t="s">
        <v>54</v>
      </c>
      <c r="F19" s="33">
        <f ca="1">+$C$15+$C$16*F18-15018.5-$C$5/24</f>
        <v>44944.03063803236</v>
      </c>
    </row>
    <row r="20" spans="1:19" ht="15" thickBot="1">
      <c r="A20" s="5" t="s">
        <v>8</v>
      </c>
      <c r="B20" s="5" t="s">
        <v>9</v>
      </c>
      <c r="C20" s="5" t="s">
        <v>10</v>
      </c>
      <c r="D20" s="5" t="s">
        <v>14</v>
      </c>
      <c r="E20" s="5" t="s">
        <v>11</v>
      </c>
      <c r="F20" s="5" t="s">
        <v>12</v>
      </c>
      <c r="G20" s="5" t="s">
        <v>13</v>
      </c>
      <c r="H20" s="8" t="s">
        <v>73</v>
      </c>
      <c r="I20" s="8" t="s">
        <v>76</v>
      </c>
      <c r="J20" s="8" t="s">
        <v>70</v>
      </c>
      <c r="K20" s="8" t="s">
        <v>68</v>
      </c>
      <c r="L20" s="8" t="s">
        <v>28</v>
      </c>
      <c r="M20" s="8" t="s">
        <v>29</v>
      </c>
      <c r="N20" s="8" t="s">
        <v>30</v>
      </c>
      <c r="O20" s="8" t="s">
        <v>24</v>
      </c>
      <c r="P20" s="7" t="s">
        <v>23</v>
      </c>
      <c r="Q20" s="5" t="s">
        <v>16</v>
      </c>
      <c r="R20" s="72" t="s">
        <v>166</v>
      </c>
      <c r="S20" s="72" t="s">
        <v>165</v>
      </c>
    </row>
    <row r="21" spans="1:19">
      <c r="A21" t="s">
        <v>32</v>
      </c>
      <c r="B21" s="4"/>
      <c r="C21" s="23">
        <v>48023.362390000002</v>
      </c>
      <c r="D21" s="23"/>
      <c r="E21">
        <f>+(C21-C$7)/C$8</f>
        <v>409.49371143601041</v>
      </c>
      <c r="F21">
        <f>ROUND(2*E21,0)/2</f>
        <v>409.5</v>
      </c>
      <c r="G21">
        <f>+C21-(C$7+F21*C$8)</f>
        <v>-2.179000002797693E-3</v>
      </c>
      <c r="K21">
        <f>+G21</f>
        <v>-2.179000002797693E-3</v>
      </c>
      <c r="Q21" s="2">
        <f>+C21-15018.5</f>
        <v>33004.862390000002</v>
      </c>
      <c r="R21">
        <f>+(O21-G21)^2</f>
        <v>4.7480410121923462E-6</v>
      </c>
    </row>
    <row r="22" spans="1:19">
      <c r="A22" t="s">
        <v>32</v>
      </c>
      <c r="B22" s="4"/>
      <c r="C22" s="23">
        <v>48197.641790000001</v>
      </c>
      <c r="D22" s="23"/>
      <c r="E22">
        <f>+(C22-C$7)/C$8</f>
        <v>912.46165967295985</v>
      </c>
      <c r="F22">
        <f>ROUND(2*E22,0)/2</f>
        <v>912.5</v>
      </c>
      <c r="G22">
        <f>+C22-(C$7+F22*C$8)</f>
        <v>-1.3285000000905711E-2</v>
      </c>
      <c r="K22">
        <f>+G22</f>
        <v>-1.3285000000905711E-2</v>
      </c>
      <c r="Q22" s="2">
        <f>+C22-15018.5</f>
        <v>33179.141790000001</v>
      </c>
      <c r="R22">
        <f>+(O22-G22)^2</f>
        <v>1.7649122502406476E-4</v>
      </c>
    </row>
    <row r="23" spans="1:19">
      <c r="A23" t="s">
        <v>32</v>
      </c>
      <c r="B23" s="4"/>
      <c r="C23" s="23">
        <v>48389.968049999996</v>
      </c>
      <c r="D23" s="23" t="s">
        <v>15</v>
      </c>
      <c r="E23">
        <f>+(C23-C$7)/C$8</f>
        <v>1467.5125973298691</v>
      </c>
      <c r="F23">
        <f>ROUND(2*E23,0)/2</f>
        <v>1467.5</v>
      </c>
      <c r="G23">
        <f>+C23-(C$7+F23*C$8)</f>
        <v>4.3649999934132211E-3</v>
      </c>
      <c r="K23">
        <f>+G23</f>
        <v>4.3649999934132211E-3</v>
      </c>
      <c r="Q23" s="2">
        <f>+C23-15018.5</f>
        <v>33371.468049999996</v>
      </c>
      <c r="R23">
        <f>+(O23-G23)^2</f>
        <v>1.9053224942497421E-5</v>
      </c>
    </row>
    <row r="24" spans="1:19">
      <c r="A24" t="s">
        <v>32</v>
      </c>
      <c r="B24" s="4"/>
      <c r="C24" s="23">
        <v>48418.029089999996</v>
      </c>
      <c r="D24" s="23"/>
      <c r="E24">
        <f>+(C24-C$7)/C$8</f>
        <v>1548.4963723152964</v>
      </c>
      <c r="F24">
        <f>ROUND(2*E24,0)/2</f>
        <v>1548.5</v>
      </c>
      <c r="G24">
        <f>+C24-(C$7+F24*C$8)</f>
        <v>-1.2570000035339035E-3</v>
      </c>
      <c r="K24">
        <f>+G24</f>
        <v>-1.2570000035339035E-3</v>
      </c>
      <c r="Q24" s="2">
        <f>+C24-15018.5</f>
        <v>33399.529089999996</v>
      </c>
      <c r="R24">
        <f>+(O24-G24)^2</f>
        <v>1.5800490088842334E-6</v>
      </c>
    </row>
    <row r="25" spans="1:19">
      <c r="A25" t="s">
        <v>33</v>
      </c>
      <c r="B25" s="4" t="s">
        <v>34</v>
      </c>
      <c r="C25" s="24">
        <v>48499.971400000002</v>
      </c>
      <c r="D25" s="23"/>
      <c r="E25">
        <f>+(C25-C$7)/C$8</f>
        <v>1784.9807504718606</v>
      </c>
      <c r="F25">
        <f>ROUND(2*E25,0)/2</f>
        <v>1785</v>
      </c>
      <c r="G25">
        <f>+C25-(C$7+F25*C$8)</f>
        <v>-6.6700000024866313E-3</v>
      </c>
      <c r="J25">
        <f>+G25</f>
        <v>-6.6700000024866313E-3</v>
      </c>
      <c r="Q25" s="2">
        <f>+C25-15018.5</f>
        <v>33481.471400000002</v>
      </c>
      <c r="R25">
        <f>+(O25-G25)^2</f>
        <v>4.448890003317166E-5</v>
      </c>
    </row>
    <row r="26" spans="1:19">
      <c r="A26" t="s">
        <v>32</v>
      </c>
      <c r="B26" s="4"/>
      <c r="C26" s="23">
        <v>48546.232660000001</v>
      </c>
      <c r="D26" s="23"/>
      <c r="E26">
        <f>+(C26-C$7)/C$8</f>
        <v>1918.4901097251964</v>
      </c>
      <c r="F26">
        <f>ROUND(2*E26,0)/2</f>
        <v>1918.5</v>
      </c>
      <c r="G26">
        <f>+C26-(C$7+F26*C$8)</f>
        <v>-3.4270000032847747E-3</v>
      </c>
      <c r="K26">
        <f>+G26</f>
        <v>-3.4270000032847747E-3</v>
      </c>
      <c r="Q26" s="2">
        <f>+C26-15018.5</f>
        <v>33527.732660000001</v>
      </c>
      <c r="R26">
        <f>+(O26-G26)^2</f>
        <v>1.1744329022513846E-5</v>
      </c>
    </row>
    <row r="27" spans="1:19">
      <c r="A27" t="s">
        <v>32</v>
      </c>
      <c r="B27" s="4"/>
      <c r="C27" s="23">
        <v>48721.755420000001</v>
      </c>
      <c r="D27" s="23"/>
      <c r="E27">
        <f>+(C27-C$7)/C$8</f>
        <v>2425.0463777986847</v>
      </c>
      <c r="F27">
        <f>ROUND(2*E27,0)/2</f>
        <v>2425</v>
      </c>
      <c r="G27">
        <f>+C27-(C$7+F27*C$8)</f>
        <v>1.6069999997853301E-2</v>
      </c>
      <c r="K27">
        <f>+G27</f>
        <v>1.6069999997853301E-2</v>
      </c>
      <c r="Q27" s="2">
        <f>+C27-15018.5</f>
        <v>33703.255420000001</v>
      </c>
      <c r="R27">
        <f>+(O27-G27)^2</f>
        <v>2.5824489993100513E-4</v>
      </c>
    </row>
    <row r="28" spans="1:19">
      <c r="A28" t="s">
        <v>32</v>
      </c>
      <c r="B28" s="4"/>
      <c r="C28" s="23">
        <v>48724.525079999999</v>
      </c>
      <c r="D28" s="23" t="s">
        <v>15</v>
      </c>
      <c r="E28">
        <f>+(C28-C$7)/C$8</f>
        <v>2433.039578415126</v>
      </c>
      <c r="F28">
        <f>ROUND(2*E28,0)/2</f>
        <v>2433</v>
      </c>
      <c r="G28">
        <f>+C28-(C$7+F28*C$8)</f>
        <v>1.3714000000618398E-2</v>
      </c>
      <c r="K28">
        <f>+G28</f>
        <v>1.3714000000618398E-2</v>
      </c>
      <c r="Q28" s="2">
        <f>+C28-15018.5</f>
        <v>33706.025079999999</v>
      </c>
      <c r="R28">
        <f>+(O28-G28)^2</f>
        <v>1.8807379601696141E-4</v>
      </c>
    </row>
    <row r="29" spans="1:19">
      <c r="A29" t="s">
        <v>32</v>
      </c>
      <c r="B29" s="4"/>
      <c r="C29" s="23">
        <v>48797.270779999999</v>
      </c>
      <c r="D29" s="23" t="s">
        <v>15</v>
      </c>
      <c r="E29">
        <f>+(C29-C$7)/C$8</f>
        <v>2642.9826667667066</v>
      </c>
      <c r="F29">
        <f>ROUND(2*E29,0)/2</f>
        <v>2643</v>
      </c>
      <c r="G29">
        <f>+C29-(C$7+F29*C$8)</f>
        <v>-6.0060000032535754E-3</v>
      </c>
      <c r="K29">
        <f>+G29</f>
        <v>-6.0060000032535754E-3</v>
      </c>
      <c r="Q29" s="2">
        <f>+C29-15018.5</f>
        <v>33778.770779999999</v>
      </c>
      <c r="R29">
        <f>+(O29-G29)^2</f>
        <v>3.6072036039081946E-5</v>
      </c>
    </row>
    <row r="30" spans="1:19">
      <c r="A30" s="70" t="s">
        <v>84</v>
      </c>
      <c r="B30" s="71" t="s">
        <v>34</v>
      </c>
      <c r="C30" s="70">
        <v>52349.976199999997</v>
      </c>
      <c r="D30" s="4"/>
      <c r="E30" s="41">
        <f>+(C30-C$7)/C$8</f>
        <v>12896.041581289563</v>
      </c>
      <c r="F30">
        <f>ROUND(2*E30,0)/2</f>
        <v>12896</v>
      </c>
      <c r="G30">
        <f>+C30-(C$7+F30*C$8)</f>
        <v>1.4407999995455611E-2</v>
      </c>
      <c r="K30">
        <f>+G30</f>
        <v>1.4407999995455611E-2</v>
      </c>
      <c r="Q30" s="2">
        <f>+C30-15018.5</f>
        <v>37331.476199999997</v>
      </c>
      <c r="R30">
        <f>+(O30-G30)^2</f>
        <v>2.0759046386904889E-4</v>
      </c>
    </row>
    <row r="31" spans="1:19">
      <c r="A31" s="70" t="s">
        <v>84</v>
      </c>
      <c r="B31" s="71" t="s">
        <v>34</v>
      </c>
      <c r="C31" s="70">
        <v>52354.129099999998</v>
      </c>
      <c r="D31" s="4"/>
      <c r="E31" s="41">
        <f>+(C31-C$7)/C$8</f>
        <v>12908.026793496132</v>
      </c>
      <c r="F31">
        <f>ROUND(2*E31,0)/2</f>
        <v>12908</v>
      </c>
      <c r="G31">
        <f>+C31-(C$7+F31*C$8)</f>
        <v>9.2839999997522682E-3</v>
      </c>
      <c r="K31">
        <f>+G31</f>
        <v>9.2839999997522682E-3</v>
      </c>
      <c r="Q31" s="2">
        <f>+C31-15018.5</f>
        <v>37335.629099999998</v>
      </c>
      <c r="R31">
        <f>+(O31-G31)^2</f>
        <v>8.6192655995400122E-5</v>
      </c>
    </row>
    <row r="32" spans="1:19">
      <c r="A32" s="54" t="s">
        <v>62</v>
      </c>
      <c r="B32" s="55" t="s">
        <v>36</v>
      </c>
      <c r="C32" s="54">
        <v>52724.3704</v>
      </c>
      <c r="D32" s="54">
        <v>5.0000000000000001E-4</v>
      </c>
      <c r="E32" s="41">
        <f>+(C32-C$7)/C$8</f>
        <v>13976.538086360248</v>
      </c>
      <c r="F32">
        <f>ROUND(2*E32,0)/2</f>
        <v>13976.5</v>
      </c>
      <c r="G32">
        <f>+C32-(C$7+F32*C$8)</f>
        <v>1.3197000000218395E-2</v>
      </c>
      <c r="K32">
        <f>+G32</f>
        <v>1.3197000000218395E-2</v>
      </c>
      <c r="Q32" s="2">
        <f>+C32-15018.5</f>
        <v>37705.8704</v>
      </c>
      <c r="R32">
        <f>+(O32-G32)^2</f>
        <v>1.7416080900576432E-4</v>
      </c>
    </row>
    <row r="33" spans="1:18">
      <c r="A33" s="54" t="s">
        <v>62</v>
      </c>
      <c r="B33" s="55" t="s">
        <v>34</v>
      </c>
      <c r="C33" s="54">
        <v>52724.544699999999</v>
      </c>
      <c r="D33" s="54">
        <v>1.5E-3</v>
      </c>
      <c r="E33" s="41">
        <f>+(C33-C$7)/C$8</f>
        <v>13977.041113759797</v>
      </c>
      <c r="F33">
        <f>ROUND(2*E33,0)/2</f>
        <v>13977</v>
      </c>
      <c r="G33">
        <f>+C33-(C$7+F33*C$8)</f>
        <v>1.424599999882048E-2</v>
      </c>
      <c r="K33">
        <f>+G33</f>
        <v>1.424599999882048E-2</v>
      </c>
      <c r="Q33" s="2">
        <f>+C33-15018.5</f>
        <v>37706.044699999999</v>
      </c>
      <c r="R33">
        <f>+(O33-G33)^2</f>
        <v>2.0294851596639311E-4</v>
      </c>
    </row>
    <row r="34" spans="1:18">
      <c r="A34" t="s">
        <v>35</v>
      </c>
      <c r="B34" s="4" t="s">
        <v>34</v>
      </c>
      <c r="C34" s="23">
        <v>52726.283300000003</v>
      </c>
      <c r="D34" s="23">
        <v>5.0000000000000001E-4</v>
      </c>
      <c r="E34">
        <f>+(C34-C$7)/C$8</f>
        <v>13982.058689415939</v>
      </c>
      <c r="F34">
        <f>ROUND(2*E34,0)/2</f>
        <v>13982</v>
      </c>
      <c r="G34">
        <f>+C34-(C$7+F34*C$8)</f>
        <v>2.0336000001407228E-2</v>
      </c>
      <c r="J34">
        <f>+G34</f>
        <v>2.0336000001407228E-2</v>
      </c>
      <c r="Q34" s="2">
        <f>+C34-15018.5</f>
        <v>37707.783300000003</v>
      </c>
      <c r="R34">
        <f>+(O34-G34)^2</f>
        <v>4.1355289605723479E-4</v>
      </c>
    </row>
    <row r="35" spans="1:18">
      <c r="A35" t="s">
        <v>35</v>
      </c>
      <c r="B35" s="4" t="s">
        <v>36</v>
      </c>
      <c r="C35" s="23">
        <v>52726.448799999998</v>
      </c>
      <c r="D35" s="23">
        <v>5.0000000000000001E-4</v>
      </c>
      <c r="E35">
        <f>+(C35-C$7)/C$8</f>
        <v>13982.536320136673</v>
      </c>
      <c r="F35">
        <f>ROUND(2*E35,0)/2</f>
        <v>13982.5</v>
      </c>
      <c r="G35">
        <f>+C35-(C$7+F35*C$8)</f>
        <v>1.2584999996761326E-2</v>
      </c>
      <c r="J35">
        <f>+G35</f>
        <v>1.2584999996761326E-2</v>
      </c>
      <c r="Q35" s="2">
        <f>+C35-15018.5</f>
        <v>37707.948799999998</v>
      </c>
      <c r="R35">
        <f>+(O35-G35)^2</f>
        <v>1.5838222491848256E-4</v>
      </c>
    </row>
    <row r="36" spans="1:18">
      <c r="A36" s="41" t="s">
        <v>37</v>
      </c>
      <c r="B36" s="42" t="s">
        <v>36</v>
      </c>
      <c r="C36" s="43">
        <v>53141.224999999999</v>
      </c>
      <c r="D36" s="43">
        <v>4.0000000000000002E-4</v>
      </c>
      <c r="E36" s="41">
        <f>+(C36-C$7)/C$8</f>
        <v>15179.574721069423</v>
      </c>
      <c r="F36">
        <f>ROUND(2*E36,0)/2</f>
        <v>15179.5</v>
      </c>
      <c r="G36">
        <f>+C36-(C$7+F36*C$8)</f>
        <v>2.589099999750033E-2</v>
      </c>
      <c r="K36">
        <f>+G36</f>
        <v>2.589099999750033E-2</v>
      </c>
      <c r="Q36" s="2">
        <f>+C36-15018.5</f>
        <v>38122.724999999999</v>
      </c>
      <c r="R36">
        <f>+(O36-G36)^2</f>
        <v>6.7034388087056215E-4</v>
      </c>
    </row>
    <row r="37" spans="1:18">
      <c r="A37" s="44" t="s">
        <v>38</v>
      </c>
      <c r="B37" s="45"/>
      <c r="C37" s="43">
        <v>53476.459499999997</v>
      </c>
      <c r="D37" s="43">
        <v>2.5999999999999999E-3</v>
      </c>
      <c r="E37" s="41">
        <f>+(C37-C$7)/C$8</f>
        <v>16147.056871244598</v>
      </c>
      <c r="F37">
        <f>ROUND(2*E37,0)/2</f>
        <v>16147</v>
      </c>
      <c r="G37">
        <f>+C37-(C$7+F37*C$8)</f>
        <v>1.9705999999132473E-2</v>
      </c>
      <c r="J37">
        <f>+G37</f>
        <v>1.9705999999132473E-2</v>
      </c>
      <c r="O37">
        <f ca="1">+C$11+C$12*$F37</f>
        <v>3.0981681098480953E-2</v>
      </c>
      <c r="Q37" s="2">
        <f>+C37-15018.5</f>
        <v>38457.959499999997</v>
      </c>
      <c r="R37">
        <f ca="1">+(O37-G37)^2</f>
        <v>1.2714098425420454E-4</v>
      </c>
    </row>
    <row r="38" spans="1:18">
      <c r="A38" s="46" t="s">
        <v>49</v>
      </c>
      <c r="B38" s="47"/>
      <c r="C38" s="43">
        <v>53833.368699999999</v>
      </c>
      <c r="D38" s="43">
        <v>2E-3</v>
      </c>
      <c r="E38" s="41">
        <f>+(C38-C$7)/C$8</f>
        <v>17177.091907117414</v>
      </c>
      <c r="F38">
        <f>ROUND(2*E38,0)/2</f>
        <v>17177</v>
      </c>
      <c r="G38">
        <f>+C38-(C$7+F38*C$8)</f>
        <v>3.1845999998040497E-2</v>
      </c>
      <c r="J38">
        <f>+G38</f>
        <v>3.1845999998040497E-2</v>
      </c>
      <c r="O38">
        <f ca="1">+C$11+C$12*$F38</f>
        <v>3.1688470919116321E-2</v>
      </c>
      <c r="Q38" s="2">
        <f>+C38-15018.5</f>
        <v>38814.868699999999</v>
      </c>
      <c r="R38">
        <f ca="1">+(O38-G38)^2</f>
        <v>2.4815410706699343E-8</v>
      </c>
    </row>
    <row r="39" spans="1:18">
      <c r="A39" s="70" t="s">
        <v>128</v>
      </c>
      <c r="B39" s="71" t="s">
        <v>36</v>
      </c>
      <c r="C39" s="70">
        <v>54132.222900000001</v>
      </c>
      <c r="D39" s="4"/>
      <c r="E39" s="41">
        <f>+(C39-C$7)/C$8</f>
        <v>18039.581012519408</v>
      </c>
      <c r="F39">
        <f>ROUND(2*E39,0)/2</f>
        <v>18039.5</v>
      </c>
      <c r="G39">
        <f>+C39-(C$7+F39*C$8)</f>
        <v>2.8071000000636559E-2</v>
      </c>
      <c r="K39">
        <f>+G39</f>
        <v>2.8071000000636559E-2</v>
      </c>
      <c r="O39">
        <f ca="1">+C$11+C$12*$F39</f>
        <v>3.2280321618434776E-2</v>
      </c>
      <c r="Q39" s="2">
        <f>+C39-15018.5</f>
        <v>39113.722900000001</v>
      </c>
      <c r="R39">
        <f ca="1">+(O39-G39)^2</f>
        <v>1.7718388482063401E-5</v>
      </c>
    </row>
    <row r="40" spans="1:18">
      <c r="A40" s="43" t="s">
        <v>55</v>
      </c>
      <c r="B40" s="45"/>
      <c r="C40" s="43">
        <v>54193.389300000003</v>
      </c>
      <c r="D40" s="43">
        <v>6.0000000000000001E-3</v>
      </c>
      <c r="E40" s="41">
        <f>+(C40-C$7)/C$8</f>
        <v>18216.106400540262</v>
      </c>
      <c r="F40">
        <f>ROUND(2*E40,0)/2</f>
        <v>18216</v>
      </c>
      <c r="G40">
        <f>+C40-(C$7+F40*C$8)</f>
        <v>3.6868000002868939E-2</v>
      </c>
      <c r="J40">
        <f>+G40</f>
        <v>3.6868000002868939E-2</v>
      </c>
      <c r="O40">
        <f ca="1">+C$11+C$12*$F40</f>
        <v>3.2401436573135892E-2</v>
      </c>
      <c r="Q40" s="2">
        <f>+C40-15018.5</f>
        <v>39174.889300000003</v>
      </c>
      <c r="R40">
        <f ca="1">+(O40-G40)^2</f>
        <v>1.9950188871828646E-5</v>
      </c>
    </row>
    <row r="41" spans="1:18">
      <c r="A41" s="70" t="s">
        <v>140</v>
      </c>
      <c r="B41" s="71" t="s">
        <v>34</v>
      </c>
      <c r="C41" s="70">
        <v>54497.273000000001</v>
      </c>
      <c r="D41" s="4"/>
      <c r="E41" s="41">
        <f>+(C41-C$7)/C$8</f>
        <v>19093.110573676342</v>
      </c>
      <c r="F41">
        <f>ROUND(2*E41,0)/2</f>
        <v>19093</v>
      </c>
      <c r="G41">
        <f>+C41-(C$7+F41*C$8)</f>
        <v>3.8313999997626524E-2</v>
      </c>
      <c r="K41">
        <f>+G41</f>
        <v>3.8313999997626524E-2</v>
      </c>
      <c r="O41">
        <f ca="1">+C$11+C$12*$F41</f>
        <v>3.300323722623999E-2</v>
      </c>
      <c r="Q41" s="2">
        <f>+C41-15018.5</f>
        <v>39478.773000000001</v>
      </c>
      <c r="R41">
        <f ca="1">+(O41-G41)^2</f>
        <v>2.8204201213945187E-5</v>
      </c>
    </row>
    <row r="42" spans="1:18">
      <c r="A42" s="48" t="s">
        <v>59</v>
      </c>
      <c r="B42" s="49" t="s">
        <v>36</v>
      </c>
      <c r="C42" s="48">
        <v>54583.384299999998</v>
      </c>
      <c r="D42" s="48">
        <v>5.0000000000000001E-4</v>
      </c>
      <c r="E42" s="41">
        <f>+(C42-C$7)/C$8</f>
        <v>19341.626599557858</v>
      </c>
      <c r="F42">
        <f>ROUND(2*E42,0)/2</f>
        <v>19341.5</v>
      </c>
      <c r="G42">
        <f>+C42-(C$7+F42*C$8)</f>
        <v>4.3866999993042555E-2</v>
      </c>
      <c r="K42">
        <f>+G42</f>
        <v>4.3866999993042555E-2</v>
      </c>
      <c r="O42">
        <f ca="1">+C$11+C$12*$F42</f>
        <v>3.3173758848014635E-2</v>
      </c>
      <c r="Q42" s="2">
        <f>+C42-15018.5</f>
        <v>39564.884299999998</v>
      </c>
      <c r="R42">
        <f ca="1">+(O42-G42)^2</f>
        <v>1.1434540618571801E-4</v>
      </c>
    </row>
    <row r="43" spans="1:18">
      <c r="A43" s="51" t="s">
        <v>61</v>
      </c>
      <c r="B43" s="52" t="s">
        <v>34</v>
      </c>
      <c r="C43" s="53">
        <v>56008.366499999996</v>
      </c>
      <c r="D43" s="53">
        <v>1E-3</v>
      </c>
      <c r="E43" s="41">
        <f>+(C43-C$7)/C$8</f>
        <v>23454.105604008044</v>
      </c>
      <c r="F43">
        <f>ROUND(2*E43,0)/2</f>
        <v>23454</v>
      </c>
      <c r="G43">
        <f>+C43-(C$7+F43*C$8)</f>
        <v>3.6591999996744562E-2</v>
      </c>
      <c r="J43">
        <f>+G43</f>
        <v>3.6591999996744562E-2</v>
      </c>
      <c r="O43">
        <f ca="1">+C$11+C$12*$F43</f>
        <v>3.5995771602735968E-2</v>
      </c>
      <c r="Q43" s="2">
        <f>+C43-15018.5</f>
        <v>40989.866499999996</v>
      </c>
      <c r="R43">
        <f ca="1">+(O43-G43)^2</f>
        <v>3.55488297822067E-7</v>
      </c>
    </row>
    <row r="44" spans="1:18">
      <c r="A44" s="50" t="s">
        <v>60</v>
      </c>
      <c r="B44" s="41"/>
      <c r="C44" s="43">
        <v>56013.735000000001</v>
      </c>
      <c r="D44" s="43">
        <v>1E-3</v>
      </c>
      <c r="E44" s="41">
        <f>+(C44-C$7)/C$8</f>
        <v>23469.599021073471</v>
      </c>
      <c r="F44">
        <f>ROUND(2*E44,0)/2</f>
        <v>23469.5</v>
      </c>
      <c r="G44">
        <f>+C44-(C$7+F44*C$8)</f>
        <v>3.431099999579601E-2</v>
      </c>
      <c r="K44">
        <f>+G44</f>
        <v>3.431099999579601E-2</v>
      </c>
      <c r="O44">
        <f ca="1">+C$11+C$12*$F44</f>
        <v>3.6006407760230966E-2</v>
      </c>
      <c r="Q44" s="2">
        <f>+C44-15018.5</f>
        <v>40995.235000000001</v>
      </c>
      <c r="R44">
        <f ca="1">+(O44-G44)^2</f>
        <v>2.8744074877063345E-6</v>
      </c>
    </row>
    <row r="45" spans="1:18">
      <c r="A45" s="54" t="s">
        <v>65</v>
      </c>
      <c r="B45" s="55"/>
      <c r="C45" s="54">
        <v>57132.4159</v>
      </c>
      <c r="D45" s="54">
        <v>2.3E-3</v>
      </c>
      <c r="E45" s="41">
        <f>+(C45-C$7)/C$8</f>
        <v>26698.096692082581</v>
      </c>
      <c r="F45">
        <f>ROUND(2*E45,0)/2</f>
        <v>26698</v>
      </c>
      <c r="G45">
        <f>+C45-(C$7+F45*C$8)</f>
        <v>3.3503999999084044E-2</v>
      </c>
      <c r="J45">
        <f>+G45</f>
        <v>3.3503999999084044E-2</v>
      </c>
      <c r="O45">
        <f ca="1">+C$11+C$12*$F45</f>
        <v>3.8221816435882711E-2</v>
      </c>
      <c r="Q45" s="2">
        <f>+C45-15018.5</f>
        <v>42113.9159</v>
      </c>
      <c r="R45">
        <f ca="1">+(O45-G45)^2</f>
        <v>2.2257791931327665E-5</v>
      </c>
    </row>
    <row r="46" spans="1:18">
      <c r="A46" s="6" t="s">
        <v>164</v>
      </c>
      <c r="C46" s="14">
        <v>57738.974099999999</v>
      </c>
      <c r="D46" s="14">
        <v>2.9999999999999997E-4</v>
      </c>
      <c r="E46" s="41">
        <f>+(C46-C$7)/C$8</f>
        <v>28448.615303807765</v>
      </c>
      <c r="F46">
        <f>ROUND(2*E46,0)/2</f>
        <v>28448.5</v>
      </c>
      <c r="G46">
        <f>+C46-(C$7+F46*C$8)</f>
        <v>3.995299999951385E-2</v>
      </c>
      <c r="K46">
        <f>+G46</f>
        <v>3.995299999951385E-2</v>
      </c>
      <c r="O46">
        <f ca="1">+C$11+C$12*$F46</f>
        <v>3.9423016029108165E-2</v>
      </c>
      <c r="Q46" s="2">
        <f>+C46-15018.5</f>
        <v>42720.474099999999</v>
      </c>
      <c r="R46">
        <f ca="1">+(O46-G46)^2</f>
        <v>2.8088300888697306E-7</v>
      </c>
    </row>
    <row r="47" spans="1:18">
      <c r="A47" s="73" t="s">
        <v>0</v>
      </c>
      <c r="B47" s="74" t="s">
        <v>36</v>
      </c>
      <c r="C47" s="75">
        <v>57829.409399999997</v>
      </c>
      <c r="D47" s="75">
        <v>2.0000000000000001E-4</v>
      </c>
      <c r="E47" s="41">
        <f>+(C47-C$7)/C$8</f>
        <v>28709.610334139474</v>
      </c>
      <c r="F47">
        <f>ROUND(2*E47,0)/2</f>
        <v>28709.5</v>
      </c>
      <c r="G47">
        <f>+C47-(C$7+F47*C$8)</f>
        <v>3.8230999998631887E-2</v>
      </c>
      <c r="K47">
        <f>+G47</f>
        <v>3.8230999998631887E-2</v>
      </c>
      <c r="O47">
        <f ca="1">+C$11+C$12*$F47</f>
        <v>3.9602115197249751E-2</v>
      </c>
      <c r="Q47" s="2">
        <f>+C47-15018.5</f>
        <v>42810.909399999997</v>
      </c>
      <c r="R47">
        <f ca="1">+(O47-G47)^2</f>
        <v>1.8799568878809056E-6</v>
      </c>
    </row>
    <row r="48" spans="1:18">
      <c r="A48" s="77" t="s">
        <v>169</v>
      </c>
      <c r="B48" s="78" t="s">
        <v>34</v>
      </c>
      <c r="C48" s="79">
        <v>57840.323239999823</v>
      </c>
      <c r="D48" s="79">
        <v>2E-3</v>
      </c>
      <c r="E48" s="41">
        <f>+(C48-C$7)/C$8</f>
        <v>28741.107526074375</v>
      </c>
      <c r="F48">
        <f>ROUND(2*E48,0)/2</f>
        <v>28741</v>
      </c>
      <c r="G48">
        <f>+C48-(C$7+F48*C$8)</f>
        <v>3.7257999822031707E-2</v>
      </c>
      <c r="K48">
        <f>+G48</f>
        <v>3.7257999822031707E-2</v>
      </c>
      <c r="O48">
        <f ca="1">+C$11+C$12*$F48</f>
        <v>3.9623730614094424E-2</v>
      </c>
      <c r="Q48" s="2">
        <f>+C48-15018.5</f>
        <v>42821.823239999823</v>
      </c>
      <c r="R48">
        <f ca="1">+(O48-G48)^2</f>
        <v>5.5966821805136919E-6</v>
      </c>
    </row>
    <row r="49" spans="1:18">
      <c r="A49" s="77" t="s">
        <v>169</v>
      </c>
      <c r="B49" s="78" t="s">
        <v>34</v>
      </c>
      <c r="C49" s="79">
        <v>57848.6470900001</v>
      </c>
      <c r="D49" s="79">
        <v>6.9999999999999999E-4</v>
      </c>
      <c r="E49" s="41">
        <f>+(C49-C$7)/C$8</f>
        <v>28765.130042539724</v>
      </c>
      <c r="F49">
        <f>ROUND(2*E49,0)/2</f>
        <v>28765</v>
      </c>
      <c r="G49">
        <f>+C49-(C$7+F49*C$8)</f>
        <v>4.5060000098601449E-2</v>
      </c>
      <c r="K49">
        <f>+G49</f>
        <v>4.5060000098601449E-2</v>
      </c>
      <c r="O49">
        <f ca="1">+C$11+C$12*$F49</f>
        <v>3.9640199503118936E-2</v>
      </c>
      <c r="Q49" s="2">
        <f>+C49-15018.5</f>
        <v>42830.1470900001</v>
      </c>
      <c r="R49">
        <f ca="1">+(O49-G49)^2</f>
        <v>2.93742384947926E-5</v>
      </c>
    </row>
    <row r="50" spans="1:18">
      <c r="A50" s="73" t="s">
        <v>1</v>
      </c>
      <c r="B50" s="76" t="s">
        <v>34</v>
      </c>
      <c r="C50" s="73">
        <v>58149.06389999995</v>
      </c>
      <c r="D50" s="73" t="s">
        <v>15</v>
      </c>
      <c r="E50" s="41">
        <f>+(C50-C$7)/C$8</f>
        <v>29632.12881888113</v>
      </c>
      <c r="F50">
        <f>ROUND(2*E50,0)/2</f>
        <v>29632</v>
      </c>
      <c r="G50">
        <f>+C50-(C$7+F50*C$8)</f>
        <v>4.4635999947786331E-2</v>
      </c>
      <c r="K50">
        <f>+G50</f>
        <v>4.4635999947786331E-2</v>
      </c>
      <c r="O50">
        <f ca="1">+C$11+C$12*$F50</f>
        <v>4.0235138119129488E-2</v>
      </c>
      <c r="Q50" s="2">
        <f>+C50-15018.5</f>
        <v>43130.56389999995</v>
      </c>
      <c r="R50">
        <f ca="1">+(O50-G50)^2</f>
        <v>1.9367584834928857E-5</v>
      </c>
    </row>
    <row r="51" spans="1:18">
      <c r="A51" s="73" t="s">
        <v>1</v>
      </c>
      <c r="B51" s="76" t="s">
        <v>34</v>
      </c>
      <c r="C51" s="73">
        <v>58157.028500000015</v>
      </c>
      <c r="D51" s="73" t="s">
        <v>15</v>
      </c>
      <c r="E51" s="41">
        <f>+(C51-C$7)/C$8</f>
        <v>29655.114544793432</v>
      </c>
      <c r="F51">
        <f>ROUND(2*E51,0)/2</f>
        <v>29655</v>
      </c>
      <c r="G51">
        <f>+C51-(C$7+F51*C$8)</f>
        <v>3.9690000012342352E-2</v>
      </c>
      <c r="K51">
        <f>+G51</f>
        <v>3.9690000012342352E-2</v>
      </c>
      <c r="O51">
        <f ca="1">+C$11+C$12*$F51</f>
        <v>4.0250920804444645E-2</v>
      </c>
      <c r="Q51" s="2">
        <f>+C51-15018.5</f>
        <v>43138.528500000015</v>
      </c>
      <c r="R51">
        <f ca="1">+(O51-G51)^2</f>
        <v>3.1463213501266375E-7</v>
      </c>
    </row>
    <row r="52" spans="1:18">
      <c r="A52" s="6" t="s">
        <v>168</v>
      </c>
      <c r="C52" s="14">
        <v>58171.756000000001</v>
      </c>
      <c r="D52" s="14">
        <v>2E-3</v>
      </c>
      <c r="E52" s="41">
        <f>+(C52-C$7)/C$8</f>
        <v>29697.617906967349</v>
      </c>
      <c r="F52">
        <f>ROUND(2*E52,0)/2</f>
        <v>29697.5</v>
      </c>
      <c r="G52">
        <f>+C52-(C$7+F52*C$8)</f>
        <v>4.0854999999282882E-2</v>
      </c>
      <c r="K52">
        <f>+G52</f>
        <v>4.0854999999282882E-2</v>
      </c>
      <c r="O52">
        <f ca="1">+C$11+C$12*$F52</f>
        <v>4.0280084462092219E-2</v>
      </c>
      <c r="Q52" s="2">
        <f>+C52-15018.5</f>
        <v>43153.256000000001</v>
      </c>
      <c r="R52">
        <f ca="1">+(O52-G52)^2</f>
        <v>3.3052787490322776E-7</v>
      </c>
    </row>
    <row r="53" spans="1:18" ht="12" customHeight="1">
      <c r="A53" s="80" t="s">
        <v>170</v>
      </c>
      <c r="B53" s="81" t="s">
        <v>34</v>
      </c>
      <c r="C53" s="82">
        <v>58532.98</v>
      </c>
      <c r="D53" s="82" t="s">
        <v>75</v>
      </c>
      <c r="E53" s="41">
        <f>+(C53-C$7)/C$8</f>
        <v>30740.105396217055</v>
      </c>
      <c r="F53">
        <f>ROUND(2*E53,0)/2</f>
        <v>30740</v>
      </c>
      <c r="G53">
        <f>+C53-(C$7+F53*C$8)</f>
        <v>3.6520000001473818E-2</v>
      </c>
      <c r="K53">
        <f>+G53</f>
        <v>3.6520000001473818E-2</v>
      </c>
      <c r="O53">
        <f ca="1">+C$11+C$12*$F53</f>
        <v>4.0995451829094524E-2</v>
      </c>
      <c r="Q53" s="2">
        <f>+C53-15018.5</f>
        <v>43514.48</v>
      </c>
      <c r="R53">
        <f ca="1">+(O53-G53)^2</f>
        <v>2.0029669061353521E-5</v>
      </c>
    </row>
    <row r="54" spans="1:18" ht="12" customHeight="1">
      <c r="A54" s="6" t="s">
        <v>167</v>
      </c>
      <c r="C54" s="14">
        <v>58815.033000000003</v>
      </c>
      <c r="D54" s="14">
        <v>1E-3</v>
      </c>
      <c r="E54" s="41">
        <f>+(C54-C$7)/C$8</f>
        <v>31554.106469803934</v>
      </c>
      <c r="F54">
        <f>ROUND(2*E54,0)/2</f>
        <v>31554</v>
      </c>
      <c r="G54">
        <f>+C54-(C$7+F54*C$8)</f>
        <v>3.689200000371784E-2</v>
      </c>
      <c r="K54">
        <f>+G54</f>
        <v>3.689200000371784E-2</v>
      </c>
      <c r="O54">
        <f ca="1">+C$11+C$12*$F54</f>
        <v>4.1554021648509271E-2</v>
      </c>
      <c r="Q54" s="2">
        <f>+C54-15018.5</f>
        <v>43796.533000000003</v>
      </c>
      <c r="R54">
        <f ca="1">+(O54-G54)^2</f>
        <v>2.1734445816503799E-5</v>
      </c>
    </row>
    <row r="55" spans="1:18" ht="12" customHeight="1">
      <c r="A55" s="86" t="s">
        <v>171</v>
      </c>
      <c r="B55" s="84" t="s">
        <v>36</v>
      </c>
      <c r="C55" s="85">
        <v>59602.468200000003</v>
      </c>
      <c r="D55" s="83">
        <v>8.9999999999999998E-4</v>
      </c>
      <c r="E55" s="41">
        <f>+(C55-C$7)/C$8</f>
        <v>33826.633612504411</v>
      </c>
      <c r="F55">
        <f>ROUND(2*E55,0)/2</f>
        <v>33826.5</v>
      </c>
      <c r="G55">
        <f>+C55-(C$7+F55*C$8)</f>
        <v>4.6297000000777189E-2</v>
      </c>
      <c r="K55">
        <f>+G55</f>
        <v>4.6297000000777189E-2</v>
      </c>
      <c r="O55">
        <f ca="1">+C$11+C$12*$F55</f>
        <v>4.3113419578017897E-2</v>
      </c>
      <c r="Q55" s="2">
        <f>+C55-15018.5</f>
        <v>44583.968200000003</v>
      </c>
      <c r="R55">
        <f ca="1">+(O55-G55)^2</f>
        <v>1.0135184308176228E-5</v>
      </c>
    </row>
    <row r="56" spans="1:18" ht="12" customHeight="1"/>
    <row r="57" spans="1:18" ht="12" customHeight="1"/>
    <row r="58" spans="1:18" ht="12" customHeight="1"/>
    <row r="59" spans="1:18" ht="12" customHeight="1"/>
  </sheetData>
  <protectedRanges>
    <protectedRange sqref="A52:D53" name="Range1"/>
  </protectedRanges>
  <sortState xmlns:xlrd2="http://schemas.microsoft.com/office/spreadsheetml/2017/richdata2" ref="A21:S55">
    <sortCondition ref="C21:C55"/>
  </sortState>
  <phoneticPr fontId="8" type="noConversion"/>
  <hyperlinks>
    <hyperlink ref="H63956" r:id="rId1" display="http://vsolj.cetus-net.org/bulletin.html"/>
    <hyperlink ref="H63949" r:id="rId2" display="https://www.aavso.org/ejaavso"/>
    <hyperlink ref="I63956" r:id="rId3" display="http://vsolj.cetus-net.org/bulletin.html"/>
    <hyperlink ref="AQ57607" r:id="rId4" display="http://cdsbib.u-strasbg.fr/cgi-bin/cdsbib?1990RMxAA..21..381G"/>
    <hyperlink ref="H63953" r:id="rId5" display="https://www.aavso.org/ejaavso"/>
    <hyperlink ref="AP4971" r:id="rId6" display="http://cdsbib.u-strasbg.fr/cgi-bin/cdsbib?1990RMxAA..21..381G"/>
    <hyperlink ref="AP4974" r:id="rId7" display="http://cdsbib.u-strasbg.fr/cgi-bin/cdsbib?1990RMxAA..21..381G"/>
    <hyperlink ref="AP4972" r:id="rId8" display="http://cdsbib.u-strasbg.fr/cgi-bin/cdsbib?1990RMxAA..21..381G"/>
    <hyperlink ref="AP4956" r:id="rId9" display="http://cdsbib.u-strasbg.fr/cgi-bin/cdsbib?1990RMxAA..21..381G"/>
    <hyperlink ref="AQ5185" r:id="rId10" display="http://cdsbib.u-strasbg.fr/cgi-bin/cdsbib?1990RMxAA..21..381G"/>
    <hyperlink ref="AQ5189" r:id="rId11" display="http://cdsbib.u-strasbg.fr/cgi-bin/cdsbib?1990RMxAA..21..381G"/>
    <hyperlink ref="AQ64869" r:id="rId12" display="http://cdsbib.u-strasbg.fr/cgi-bin/cdsbib?1990RMxAA..21..381G"/>
    <hyperlink ref="I2077" r:id="rId13" display="http://vsolj.cetus-net.org/bulletin.html"/>
    <hyperlink ref="H2077" r:id="rId14" display="http://vsolj.cetus-net.org/bulletin.html"/>
    <hyperlink ref="AQ65530" r:id="rId15" display="http://cdsbib.u-strasbg.fr/cgi-bin/cdsbib?1990RMxAA..21..381G"/>
    <hyperlink ref="AQ65529" r:id="rId16" display="http://cdsbib.u-strasbg.fr/cgi-bin/cdsbib?1990RMxAA..21..381G"/>
    <hyperlink ref="AP3247" r:id="rId17" display="http://cdsbib.u-strasbg.fr/cgi-bin/cdsbib?1990RMxAA..21..381G"/>
    <hyperlink ref="AP3265" r:id="rId18" display="http://cdsbib.u-strasbg.fr/cgi-bin/cdsbib?1990RMxAA..21..381G"/>
    <hyperlink ref="AP3266" r:id="rId19" display="http://cdsbib.u-strasbg.fr/cgi-bin/cdsbib?1990RMxAA..21..381G"/>
    <hyperlink ref="AP3262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30"/>
  <sheetViews>
    <sheetView topLeftCell="A4" workbookViewId="0">
      <selection activeCell="A23" sqref="A23:C26"/>
    </sheetView>
  </sheetViews>
  <sheetFormatPr defaultRowHeight="12.75"/>
  <cols>
    <col min="1" max="1" width="19.7109375" style="14" customWidth="1"/>
    <col min="2" max="2" width="4.42578125" style="22" customWidth="1"/>
    <col min="3" max="3" width="12.7109375" style="14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4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57" t="s">
        <v>66</v>
      </c>
      <c r="I1" s="58" t="s">
        <v>67</v>
      </c>
      <c r="J1" s="59" t="s">
        <v>68</v>
      </c>
    </row>
    <row r="2" spans="1:16">
      <c r="I2" s="60" t="s">
        <v>69</v>
      </c>
      <c r="J2" s="61" t="s">
        <v>70</v>
      </c>
    </row>
    <row r="3" spans="1:16">
      <c r="A3" s="62" t="s">
        <v>71</v>
      </c>
      <c r="I3" s="60" t="s">
        <v>72</v>
      </c>
      <c r="J3" s="61" t="s">
        <v>73</v>
      </c>
    </row>
    <row r="4" spans="1:16">
      <c r="I4" s="60" t="s">
        <v>74</v>
      </c>
      <c r="J4" s="61" t="s">
        <v>73</v>
      </c>
    </row>
    <row r="5" spans="1:16" ht="13.5" thickBot="1">
      <c r="I5" s="63" t="s">
        <v>75</v>
      </c>
      <c r="J5" s="64" t="s">
        <v>76</v>
      </c>
    </row>
    <row r="10" spans="1:16" ht="13.5" thickBot="1"/>
    <row r="11" spans="1:16" ht="12.75" customHeight="1" thickBot="1">
      <c r="A11" s="14" t="str">
        <f t="shared" ref="A11:A26" si="0">P11</f>
        <v>BAVM 241 (=IBVS 6157) </v>
      </c>
      <c r="B11" s="4" t="str">
        <f t="shared" ref="B11:B26" si="1">IF(H11=INT(H11),"I","II")</f>
        <v>I</v>
      </c>
      <c r="C11" s="14">
        <f t="shared" ref="C11:C26" si="2">1*G11</f>
        <v>57132.4159</v>
      </c>
      <c r="D11" s="22" t="str">
        <f t="shared" ref="D11:D26" si="3">VLOOKUP(F11,I$1:J$5,2,FALSE)</f>
        <v>vis</v>
      </c>
      <c r="E11" s="65">
        <f>VLOOKUP(C11,Active!C$21:E$972,3,FALSE)</f>
        <v>26698.096692082581</v>
      </c>
      <c r="F11" s="4" t="s">
        <v>75</v>
      </c>
      <c r="G11" s="22" t="str">
        <f t="shared" ref="G11:G26" si="4">MID(I11,3,LEN(I11)-3)</f>
        <v>57132.4159</v>
      </c>
      <c r="H11" s="14">
        <f t="shared" ref="H11:H26" si="5">1*K11</f>
        <v>13368</v>
      </c>
      <c r="I11" s="66" t="s">
        <v>159</v>
      </c>
      <c r="J11" s="67" t="s">
        <v>160</v>
      </c>
      <c r="K11" s="66" t="s">
        <v>161</v>
      </c>
      <c r="L11" s="66" t="s">
        <v>162</v>
      </c>
      <c r="M11" s="67" t="s">
        <v>91</v>
      </c>
      <c r="N11" s="67" t="s">
        <v>133</v>
      </c>
      <c r="O11" s="68" t="s">
        <v>134</v>
      </c>
      <c r="P11" s="69" t="s">
        <v>163</v>
      </c>
    </row>
    <row r="12" spans="1:16" ht="12.75" customHeight="1" thickBot="1">
      <c r="A12" s="14" t="str">
        <f t="shared" si="0"/>
        <v>IBVS 6153 </v>
      </c>
      <c r="B12" s="4" t="str">
        <f t="shared" si="1"/>
        <v>II</v>
      </c>
      <c r="C12" s="14">
        <f t="shared" si="2"/>
        <v>52724.3704</v>
      </c>
      <c r="D12" s="22" t="str">
        <f t="shared" si="3"/>
        <v>vis</v>
      </c>
      <c r="E12" s="65">
        <f>VLOOKUP(C12,Active!C$21:E$972,3,FALSE)</f>
        <v>13976.538086360248</v>
      </c>
      <c r="F12" s="4" t="s">
        <v>75</v>
      </c>
      <c r="G12" s="22" t="str">
        <f t="shared" si="4"/>
        <v>52724.3704</v>
      </c>
      <c r="H12" s="14">
        <f t="shared" si="5"/>
        <v>646.5</v>
      </c>
      <c r="I12" s="66" t="s">
        <v>88</v>
      </c>
      <c r="J12" s="67" t="s">
        <v>89</v>
      </c>
      <c r="K12" s="66">
        <v>646.5</v>
      </c>
      <c r="L12" s="66" t="s">
        <v>90</v>
      </c>
      <c r="M12" s="67" t="s">
        <v>91</v>
      </c>
      <c r="N12" s="67" t="s">
        <v>92</v>
      </c>
      <c r="O12" s="68" t="s">
        <v>93</v>
      </c>
      <c r="P12" s="69" t="s">
        <v>94</v>
      </c>
    </row>
    <row r="13" spans="1:16" ht="12.75" customHeight="1" thickBot="1">
      <c r="A13" s="14" t="str">
        <f t="shared" si="0"/>
        <v>IBVS 6153 </v>
      </c>
      <c r="B13" s="4" t="str">
        <f t="shared" si="1"/>
        <v>I</v>
      </c>
      <c r="C13" s="14">
        <f t="shared" si="2"/>
        <v>52724.544699999999</v>
      </c>
      <c r="D13" s="22" t="str">
        <f t="shared" si="3"/>
        <v>vis</v>
      </c>
      <c r="E13" s="65">
        <f>VLOOKUP(C13,Active!C$21:E$972,3,FALSE)</f>
        <v>13977.041113759797</v>
      </c>
      <c r="F13" s="4" t="s">
        <v>75</v>
      </c>
      <c r="G13" s="22" t="str">
        <f t="shared" si="4"/>
        <v>52724.5447</v>
      </c>
      <c r="H13" s="14">
        <f t="shared" si="5"/>
        <v>647</v>
      </c>
      <c r="I13" s="66" t="s">
        <v>95</v>
      </c>
      <c r="J13" s="67" t="s">
        <v>96</v>
      </c>
      <c r="K13" s="66">
        <v>647</v>
      </c>
      <c r="L13" s="66" t="s">
        <v>97</v>
      </c>
      <c r="M13" s="67" t="s">
        <v>91</v>
      </c>
      <c r="N13" s="67" t="s">
        <v>92</v>
      </c>
      <c r="O13" s="68" t="s">
        <v>93</v>
      </c>
      <c r="P13" s="69" t="s">
        <v>94</v>
      </c>
    </row>
    <row r="14" spans="1:16" ht="12.75" customHeight="1" thickBot="1">
      <c r="A14" s="14" t="str">
        <f t="shared" si="0"/>
        <v>IBVS 5407 </v>
      </c>
      <c r="B14" s="4" t="str">
        <f t="shared" si="1"/>
        <v>I</v>
      </c>
      <c r="C14" s="14">
        <f t="shared" si="2"/>
        <v>52726.283300000003</v>
      </c>
      <c r="D14" s="22" t="str">
        <f t="shared" si="3"/>
        <v>vis</v>
      </c>
      <c r="E14" s="65">
        <f>VLOOKUP(C14,Active!C$21:E$972,3,FALSE)</f>
        <v>13982.058689415939</v>
      </c>
      <c r="F14" s="4" t="s">
        <v>75</v>
      </c>
      <c r="G14" s="22" t="str">
        <f t="shared" si="4"/>
        <v>52726.2833</v>
      </c>
      <c r="H14" s="14">
        <f t="shared" si="5"/>
        <v>652</v>
      </c>
      <c r="I14" s="66" t="s">
        <v>98</v>
      </c>
      <c r="J14" s="67" t="s">
        <v>99</v>
      </c>
      <c r="K14" s="66">
        <v>652</v>
      </c>
      <c r="L14" s="66" t="s">
        <v>100</v>
      </c>
      <c r="M14" s="67" t="s">
        <v>81</v>
      </c>
      <c r="N14" s="67" t="s">
        <v>82</v>
      </c>
      <c r="O14" s="68" t="s">
        <v>101</v>
      </c>
      <c r="P14" s="69" t="s">
        <v>102</v>
      </c>
    </row>
    <row r="15" spans="1:16" ht="12.75" customHeight="1" thickBot="1">
      <c r="A15" s="14" t="str">
        <f t="shared" si="0"/>
        <v>IBVS 5407 </v>
      </c>
      <c r="B15" s="4" t="str">
        <f t="shared" si="1"/>
        <v>II</v>
      </c>
      <c r="C15" s="14">
        <f t="shared" si="2"/>
        <v>52726.448799999998</v>
      </c>
      <c r="D15" s="22" t="str">
        <f t="shared" si="3"/>
        <v>vis</v>
      </c>
      <c r="E15" s="65">
        <f>VLOOKUP(C15,Active!C$21:E$972,3,FALSE)</f>
        <v>13982.536320136673</v>
      </c>
      <c r="F15" s="4" t="s">
        <v>75</v>
      </c>
      <c r="G15" s="22" t="str">
        <f t="shared" si="4"/>
        <v>52726.4488</v>
      </c>
      <c r="H15" s="14">
        <f t="shared" si="5"/>
        <v>652.5</v>
      </c>
      <c r="I15" s="66" t="s">
        <v>103</v>
      </c>
      <c r="J15" s="67" t="s">
        <v>104</v>
      </c>
      <c r="K15" s="66">
        <v>652.5</v>
      </c>
      <c r="L15" s="66" t="s">
        <v>105</v>
      </c>
      <c r="M15" s="67" t="s">
        <v>81</v>
      </c>
      <c r="N15" s="67" t="s">
        <v>82</v>
      </c>
      <c r="O15" s="68" t="s">
        <v>101</v>
      </c>
      <c r="P15" s="69" t="s">
        <v>102</v>
      </c>
    </row>
    <row r="16" spans="1:16" ht="12.75" customHeight="1" thickBot="1">
      <c r="A16" s="14" t="str">
        <f t="shared" si="0"/>
        <v>IBVS 5592 </v>
      </c>
      <c r="B16" s="4" t="str">
        <f t="shared" si="1"/>
        <v>II</v>
      </c>
      <c r="C16" s="14">
        <f t="shared" si="2"/>
        <v>53141.224999999999</v>
      </c>
      <c r="D16" s="22" t="str">
        <f t="shared" si="3"/>
        <v>vis</v>
      </c>
      <c r="E16" s="65">
        <f>VLOOKUP(C16,Active!C$21:E$972,3,FALSE)</f>
        <v>15179.574721069423</v>
      </c>
      <c r="F16" s="4" t="s">
        <v>75</v>
      </c>
      <c r="G16" s="22" t="str">
        <f t="shared" si="4"/>
        <v>53141.2250</v>
      </c>
      <c r="H16" s="14">
        <f t="shared" si="5"/>
        <v>1849.5</v>
      </c>
      <c r="I16" s="66" t="s">
        <v>106</v>
      </c>
      <c r="J16" s="67" t="s">
        <v>107</v>
      </c>
      <c r="K16" s="66">
        <v>1849.5</v>
      </c>
      <c r="L16" s="66" t="s">
        <v>108</v>
      </c>
      <c r="M16" s="67" t="s">
        <v>81</v>
      </c>
      <c r="N16" s="67" t="s">
        <v>82</v>
      </c>
      <c r="O16" s="68" t="s">
        <v>109</v>
      </c>
      <c r="P16" s="69" t="s">
        <v>110</v>
      </c>
    </row>
    <row r="17" spans="1:16" ht="12.75" customHeight="1" thickBot="1">
      <c r="A17" s="14" t="str">
        <f t="shared" si="0"/>
        <v>BAVM 173 </v>
      </c>
      <c r="B17" s="4" t="str">
        <f t="shared" si="1"/>
        <v>I</v>
      </c>
      <c r="C17" s="14">
        <f t="shared" si="2"/>
        <v>53476.459499999997</v>
      </c>
      <c r="D17" s="22" t="str">
        <f t="shared" si="3"/>
        <v>vis</v>
      </c>
      <c r="E17" s="65">
        <f>VLOOKUP(C17,Active!C$21:E$972,3,FALSE)</f>
        <v>16147.056871244598</v>
      </c>
      <c r="F17" s="4" t="s">
        <v>75</v>
      </c>
      <c r="G17" s="22" t="str">
        <f t="shared" si="4"/>
        <v>53476.4595</v>
      </c>
      <c r="H17" s="14">
        <f t="shared" si="5"/>
        <v>2817</v>
      </c>
      <c r="I17" s="66" t="s">
        <v>111</v>
      </c>
      <c r="J17" s="67" t="s">
        <v>112</v>
      </c>
      <c r="K17" s="66">
        <v>2817</v>
      </c>
      <c r="L17" s="66" t="s">
        <v>113</v>
      </c>
      <c r="M17" s="67" t="s">
        <v>81</v>
      </c>
      <c r="N17" s="67" t="s">
        <v>75</v>
      </c>
      <c r="O17" s="68" t="s">
        <v>114</v>
      </c>
      <c r="P17" s="69" t="s">
        <v>115</v>
      </c>
    </row>
    <row r="18" spans="1:16" ht="12.75" customHeight="1" thickBot="1">
      <c r="A18" s="14" t="str">
        <f t="shared" si="0"/>
        <v>BAVM 178 </v>
      </c>
      <c r="B18" s="4" t="str">
        <f t="shared" si="1"/>
        <v>I</v>
      </c>
      <c r="C18" s="14">
        <f t="shared" si="2"/>
        <v>53833.368699999999</v>
      </c>
      <c r="D18" s="22" t="str">
        <f t="shared" si="3"/>
        <v>vis</v>
      </c>
      <c r="E18" s="65">
        <f>VLOOKUP(C18,Active!C$21:E$972,3,FALSE)</f>
        <v>17177.091907117414</v>
      </c>
      <c r="F18" s="4" t="s">
        <v>75</v>
      </c>
      <c r="G18" s="22" t="str">
        <f t="shared" si="4"/>
        <v>53833.3687</v>
      </c>
      <c r="H18" s="14">
        <f t="shared" si="5"/>
        <v>3847</v>
      </c>
      <c r="I18" s="66" t="s">
        <v>116</v>
      </c>
      <c r="J18" s="67" t="s">
        <v>117</v>
      </c>
      <c r="K18" s="66">
        <v>3847</v>
      </c>
      <c r="L18" s="66" t="s">
        <v>118</v>
      </c>
      <c r="M18" s="67" t="s">
        <v>91</v>
      </c>
      <c r="N18" s="67" t="s">
        <v>119</v>
      </c>
      <c r="O18" s="68" t="s">
        <v>120</v>
      </c>
      <c r="P18" s="69" t="s">
        <v>121</v>
      </c>
    </row>
    <row r="19" spans="1:16" ht="12.75" customHeight="1" thickBot="1">
      <c r="A19" s="14" t="str">
        <f t="shared" si="0"/>
        <v>BAVM 186 </v>
      </c>
      <c r="B19" s="4" t="str">
        <f t="shared" si="1"/>
        <v>I</v>
      </c>
      <c r="C19" s="14">
        <f t="shared" si="2"/>
        <v>54193.389300000003</v>
      </c>
      <c r="D19" s="22" t="str">
        <f t="shared" si="3"/>
        <v>vis</v>
      </c>
      <c r="E19" s="65">
        <f>VLOOKUP(C19,Active!C$21:E$972,3,FALSE)</f>
        <v>18216.106400540262</v>
      </c>
      <c r="F19" s="4" t="s">
        <v>75</v>
      </c>
      <c r="G19" s="22" t="str">
        <f t="shared" si="4"/>
        <v>54193.3893</v>
      </c>
      <c r="H19" s="14">
        <f t="shared" si="5"/>
        <v>4886</v>
      </c>
      <c r="I19" s="66" t="s">
        <v>129</v>
      </c>
      <c r="J19" s="67" t="s">
        <v>130</v>
      </c>
      <c r="K19" s="66" t="s">
        <v>131</v>
      </c>
      <c r="L19" s="66" t="s">
        <v>132</v>
      </c>
      <c r="M19" s="67" t="s">
        <v>91</v>
      </c>
      <c r="N19" s="67" t="s">
        <v>133</v>
      </c>
      <c r="O19" s="68" t="s">
        <v>134</v>
      </c>
      <c r="P19" s="69" t="s">
        <v>135</v>
      </c>
    </row>
    <row r="20" spans="1:16" ht="12.75" customHeight="1" thickBot="1">
      <c r="A20" s="14" t="str">
        <f t="shared" si="0"/>
        <v>OEJV 0094 </v>
      </c>
      <c r="B20" s="4" t="str">
        <f t="shared" si="1"/>
        <v>II</v>
      </c>
      <c r="C20" s="14">
        <f t="shared" si="2"/>
        <v>54583.384299999998</v>
      </c>
      <c r="D20" s="22" t="str">
        <f t="shared" si="3"/>
        <v>vis</v>
      </c>
      <c r="E20" s="65">
        <f>VLOOKUP(C20,Active!C$21:E$972,3,FALSE)</f>
        <v>19341.626599557858</v>
      </c>
      <c r="F20" s="4" t="s">
        <v>75</v>
      </c>
      <c r="G20" s="22" t="str">
        <f t="shared" si="4"/>
        <v>54583.3843</v>
      </c>
      <c r="H20" s="14">
        <f t="shared" si="5"/>
        <v>6011.5</v>
      </c>
      <c r="I20" s="66" t="s">
        <v>141</v>
      </c>
      <c r="J20" s="67" t="s">
        <v>142</v>
      </c>
      <c r="K20" s="66" t="s">
        <v>143</v>
      </c>
      <c r="L20" s="66" t="s">
        <v>144</v>
      </c>
      <c r="M20" s="67" t="s">
        <v>91</v>
      </c>
      <c r="N20" s="67" t="s">
        <v>145</v>
      </c>
      <c r="O20" s="68" t="s">
        <v>146</v>
      </c>
      <c r="P20" s="69" t="s">
        <v>147</v>
      </c>
    </row>
    <row r="21" spans="1:16" ht="12.75" customHeight="1" thickBot="1">
      <c r="A21" s="14" t="str">
        <f t="shared" si="0"/>
        <v>BAVM 228 </v>
      </c>
      <c r="B21" s="4" t="str">
        <f t="shared" si="1"/>
        <v>I</v>
      </c>
      <c r="C21" s="14">
        <f t="shared" si="2"/>
        <v>56008.366499999996</v>
      </c>
      <c r="D21" s="22" t="str">
        <f t="shared" si="3"/>
        <v>vis</v>
      </c>
      <c r="E21" s="65">
        <f>VLOOKUP(C21,Active!C$21:E$972,3,FALSE)</f>
        <v>23454.105604008044</v>
      </c>
      <c r="F21" s="4" t="s">
        <v>75</v>
      </c>
      <c r="G21" s="22" t="str">
        <f t="shared" si="4"/>
        <v>56008.3665</v>
      </c>
      <c r="H21" s="14">
        <f t="shared" si="5"/>
        <v>10124</v>
      </c>
      <c r="I21" s="66" t="s">
        <v>148</v>
      </c>
      <c r="J21" s="67" t="s">
        <v>149</v>
      </c>
      <c r="K21" s="66" t="s">
        <v>150</v>
      </c>
      <c r="L21" s="66" t="s">
        <v>151</v>
      </c>
      <c r="M21" s="67" t="s">
        <v>91</v>
      </c>
      <c r="N21" s="67" t="s">
        <v>133</v>
      </c>
      <c r="O21" s="68" t="s">
        <v>152</v>
      </c>
      <c r="P21" s="69" t="s">
        <v>153</v>
      </c>
    </row>
    <row r="22" spans="1:16" ht="12.75" customHeight="1" thickBot="1">
      <c r="A22" s="14" t="str">
        <f t="shared" si="0"/>
        <v>IBVS 6050 </v>
      </c>
      <c r="B22" s="4" t="str">
        <f t="shared" si="1"/>
        <v>II</v>
      </c>
      <c r="C22" s="14">
        <f t="shared" si="2"/>
        <v>56013.735000000001</v>
      </c>
      <c r="D22" s="22" t="str">
        <f t="shared" si="3"/>
        <v>vis</v>
      </c>
      <c r="E22" s="65">
        <f>VLOOKUP(C22,Active!C$21:E$972,3,FALSE)</f>
        <v>23469.599021073471</v>
      </c>
      <c r="F22" s="4" t="s">
        <v>75</v>
      </c>
      <c r="G22" s="22" t="str">
        <f t="shared" si="4"/>
        <v>56013.735</v>
      </c>
      <c r="H22" s="14">
        <f t="shared" si="5"/>
        <v>10139.5</v>
      </c>
      <c r="I22" s="66" t="s">
        <v>154</v>
      </c>
      <c r="J22" s="67" t="s">
        <v>155</v>
      </c>
      <c r="K22" s="66" t="s">
        <v>156</v>
      </c>
      <c r="L22" s="66" t="s">
        <v>77</v>
      </c>
      <c r="M22" s="67" t="s">
        <v>91</v>
      </c>
      <c r="N22" s="67" t="s">
        <v>67</v>
      </c>
      <c r="O22" s="68" t="s">
        <v>157</v>
      </c>
      <c r="P22" s="69" t="s">
        <v>158</v>
      </c>
    </row>
    <row r="23" spans="1:16" ht="12.75" customHeight="1" thickBot="1">
      <c r="A23" s="14" t="str">
        <f t="shared" si="0"/>
        <v>VSB 40 </v>
      </c>
      <c r="B23" s="4" t="str">
        <f t="shared" si="1"/>
        <v>I</v>
      </c>
      <c r="C23" s="14">
        <f t="shared" si="2"/>
        <v>52349.976199999997</v>
      </c>
      <c r="D23" s="22" t="str">
        <f t="shared" si="3"/>
        <v>vis</v>
      </c>
      <c r="E23" s="65">
        <f>VLOOKUP(C23,Active!C$21:E$972,3,FALSE)</f>
        <v>12896.041581289563</v>
      </c>
      <c r="F23" s="4" t="s">
        <v>75</v>
      </c>
      <c r="G23" s="22" t="str">
        <f t="shared" si="4"/>
        <v>52349.9762</v>
      </c>
      <c r="H23" s="14">
        <f t="shared" si="5"/>
        <v>-434</v>
      </c>
      <c r="I23" s="66" t="s">
        <v>78</v>
      </c>
      <c r="J23" s="67" t="s">
        <v>79</v>
      </c>
      <c r="K23" s="66">
        <v>-434</v>
      </c>
      <c r="L23" s="66" t="s">
        <v>80</v>
      </c>
      <c r="M23" s="67" t="s">
        <v>81</v>
      </c>
      <c r="N23" s="67" t="s">
        <v>82</v>
      </c>
      <c r="O23" s="68" t="s">
        <v>83</v>
      </c>
      <c r="P23" s="69" t="s">
        <v>84</v>
      </c>
    </row>
    <row r="24" spans="1:16" ht="12.75" customHeight="1" thickBot="1">
      <c r="A24" s="14" t="str">
        <f t="shared" si="0"/>
        <v>VSB 40 </v>
      </c>
      <c r="B24" s="4" t="str">
        <f t="shared" si="1"/>
        <v>I</v>
      </c>
      <c r="C24" s="14">
        <f t="shared" si="2"/>
        <v>52354.129099999998</v>
      </c>
      <c r="D24" s="22" t="str">
        <f t="shared" si="3"/>
        <v>vis</v>
      </c>
      <c r="E24" s="65">
        <f>VLOOKUP(C24,Active!C$21:E$972,3,FALSE)</f>
        <v>12908.026793496132</v>
      </c>
      <c r="F24" s="4" t="s">
        <v>75</v>
      </c>
      <c r="G24" s="22" t="str">
        <f t="shared" si="4"/>
        <v>52354.1291</v>
      </c>
      <c r="H24" s="14">
        <f t="shared" si="5"/>
        <v>-422</v>
      </c>
      <c r="I24" s="66" t="s">
        <v>85</v>
      </c>
      <c r="J24" s="67" t="s">
        <v>86</v>
      </c>
      <c r="K24" s="66">
        <v>-422</v>
      </c>
      <c r="L24" s="66" t="s">
        <v>87</v>
      </c>
      <c r="M24" s="67" t="s">
        <v>81</v>
      </c>
      <c r="N24" s="67" t="s">
        <v>82</v>
      </c>
      <c r="O24" s="68" t="s">
        <v>83</v>
      </c>
      <c r="P24" s="69" t="s">
        <v>84</v>
      </c>
    </row>
    <row r="25" spans="1:16" ht="12.75" customHeight="1" thickBot="1">
      <c r="A25" s="14" t="str">
        <f t="shared" si="0"/>
        <v>VSB 46 </v>
      </c>
      <c r="B25" s="4" t="str">
        <f t="shared" si="1"/>
        <v>II</v>
      </c>
      <c r="C25" s="14">
        <f t="shared" si="2"/>
        <v>54132.222900000001</v>
      </c>
      <c r="D25" s="22" t="str">
        <f t="shared" si="3"/>
        <v>vis</v>
      </c>
      <c r="E25" s="65">
        <f>VLOOKUP(C25,Active!C$21:E$972,3,FALSE)</f>
        <v>18039.581012519408</v>
      </c>
      <c r="F25" s="4" t="s">
        <v>75</v>
      </c>
      <c r="G25" s="22" t="str">
        <f t="shared" si="4"/>
        <v>54132.2229</v>
      </c>
      <c r="H25" s="14">
        <f t="shared" si="5"/>
        <v>4709.5</v>
      </c>
      <c r="I25" s="66" t="s">
        <v>122</v>
      </c>
      <c r="J25" s="67" t="s">
        <v>123</v>
      </c>
      <c r="K25" s="66" t="s">
        <v>124</v>
      </c>
      <c r="L25" s="66" t="s">
        <v>125</v>
      </c>
      <c r="M25" s="67" t="s">
        <v>91</v>
      </c>
      <c r="N25" s="67" t="s">
        <v>126</v>
      </c>
      <c r="O25" s="68" t="s">
        <v>127</v>
      </c>
      <c r="P25" s="69" t="s">
        <v>128</v>
      </c>
    </row>
    <row r="26" spans="1:16" ht="12.75" customHeight="1" thickBot="1">
      <c r="A26" s="14" t="str">
        <f t="shared" si="0"/>
        <v>VSB 48 </v>
      </c>
      <c r="B26" s="4" t="str">
        <f t="shared" si="1"/>
        <v>I</v>
      </c>
      <c r="C26" s="14">
        <f t="shared" si="2"/>
        <v>54497.273000000001</v>
      </c>
      <c r="D26" s="22" t="str">
        <f t="shared" si="3"/>
        <v>vis</v>
      </c>
      <c r="E26" s="65">
        <f>VLOOKUP(C26,Active!C$21:E$972,3,FALSE)</f>
        <v>19093.110573676342</v>
      </c>
      <c r="F26" s="4" t="s">
        <v>75</v>
      </c>
      <c r="G26" s="22" t="str">
        <f t="shared" si="4"/>
        <v>54497.2730</v>
      </c>
      <c r="H26" s="14">
        <f t="shared" si="5"/>
        <v>5763</v>
      </c>
      <c r="I26" s="66" t="s">
        <v>136</v>
      </c>
      <c r="J26" s="67" t="s">
        <v>137</v>
      </c>
      <c r="K26" s="66" t="s">
        <v>138</v>
      </c>
      <c r="L26" s="66" t="s">
        <v>139</v>
      </c>
      <c r="M26" s="67" t="s">
        <v>91</v>
      </c>
      <c r="N26" s="67" t="s">
        <v>126</v>
      </c>
      <c r="O26" s="68" t="s">
        <v>127</v>
      </c>
      <c r="P26" s="69" t="s">
        <v>140</v>
      </c>
    </row>
    <row r="27" spans="1:16">
      <c r="B27" s="4"/>
      <c r="E27" s="65"/>
      <c r="F27" s="4"/>
    </row>
    <row r="28" spans="1:16">
      <c r="B28" s="4"/>
      <c r="E28" s="65"/>
      <c r="F28" s="4"/>
    </row>
    <row r="29" spans="1:16">
      <c r="B29" s="4"/>
      <c r="E29" s="65"/>
      <c r="F29" s="4"/>
    </row>
    <row r="30" spans="1:16">
      <c r="B30" s="4"/>
      <c r="E30" s="65"/>
      <c r="F30" s="4"/>
    </row>
    <row r="31" spans="1:16">
      <c r="B31" s="4"/>
      <c r="E31" s="65"/>
      <c r="F31" s="4"/>
    </row>
    <row r="32" spans="1:16">
      <c r="B32" s="4"/>
      <c r="E32" s="65"/>
      <c r="F32" s="4"/>
    </row>
    <row r="33" spans="2:6">
      <c r="B33" s="4"/>
      <c r="E33" s="65"/>
      <c r="F33" s="4"/>
    </row>
    <row r="34" spans="2:6">
      <c r="B34" s="4"/>
      <c r="E34" s="65"/>
      <c r="F34" s="4"/>
    </row>
    <row r="35" spans="2:6">
      <c r="B35" s="4"/>
      <c r="E35" s="65"/>
      <c r="F35" s="4"/>
    </row>
    <row r="36" spans="2:6">
      <c r="B36" s="4"/>
      <c r="E36" s="65"/>
      <c r="F36" s="4"/>
    </row>
    <row r="37" spans="2:6">
      <c r="B37" s="4"/>
      <c r="E37" s="65"/>
      <c r="F37" s="4"/>
    </row>
    <row r="38" spans="2:6">
      <c r="B38" s="4"/>
      <c r="E38" s="65"/>
      <c r="F38" s="4"/>
    </row>
    <row r="39" spans="2:6">
      <c r="B39" s="4"/>
      <c r="E39" s="65"/>
      <c r="F39" s="4"/>
    </row>
    <row r="40" spans="2:6">
      <c r="B40" s="4"/>
      <c r="E40" s="65"/>
      <c r="F40" s="4"/>
    </row>
    <row r="41" spans="2:6">
      <c r="B41" s="4"/>
      <c r="E41" s="65"/>
      <c r="F41" s="4"/>
    </row>
    <row r="42" spans="2:6">
      <c r="B42" s="4"/>
      <c r="E42" s="65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</sheetData>
  <phoneticPr fontId="8" type="noConversion"/>
  <hyperlinks>
    <hyperlink ref="P23" r:id="rId1" display="http://vsolj.cetus-net.org/no40.pdf"/>
    <hyperlink ref="P24" r:id="rId2" display="http://vsolj.cetus-net.org/no40.pdf"/>
    <hyperlink ref="P12" r:id="rId3" display="http://www.konkoly.hu/cgi-bin/IBVS?6153"/>
    <hyperlink ref="P13" r:id="rId4" display="http://www.konkoly.hu/cgi-bin/IBVS?6153"/>
    <hyperlink ref="P14" r:id="rId5" display="http://www.konkoly.hu/cgi-bin/IBVS?5407"/>
    <hyperlink ref="P15" r:id="rId6" display="http://www.konkoly.hu/cgi-bin/IBVS?5407"/>
    <hyperlink ref="P16" r:id="rId7" display="http://www.konkoly.hu/cgi-bin/IBVS?5592"/>
    <hyperlink ref="P17" r:id="rId8" display="http://www.bav-astro.de/sfs/BAVM_link.php?BAVMnr=173"/>
    <hyperlink ref="P18" r:id="rId9" display="http://www.bav-astro.de/sfs/BAVM_link.php?BAVMnr=178"/>
    <hyperlink ref="P25" r:id="rId10" display="http://vsolj.cetus-net.org/no46.pdf"/>
    <hyperlink ref="P19" r:id="rId11" display="http://www.bav-astro.de/sfs/BAVM_link.php?BAVMnr=186"/>
    <hyperlink ref="P26" r:id="rId12" display="http://vsolj.cetus-net.org/no48.pdf"/>
    <hyperlink ref="P20" r:id="rId13" display="http://var.astro.cz/oejv/issues/oejv0094.pdf"/>
    <hyperlink ref="P21" r:id="rId14" display="http://www.bav-astro.de/sfs/BAVM_link.php?BAVMnr=228"/>
    <hyperlink ref="P22" r:id="rId15" display="http://www.konkoly.hu/cgi-bin/IBVS?6050"/>
    <hyperlink ref="P11" r:id="rId16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2"/>
  <sheetViews>
    <sheetView workbookViewId="0">
      <selection activeCell="A8" sqref="A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40</v>
      </c>
    </row>
    <row r="2" spans="1:18">
      <c r="A2" t="s">
        <v>26</v>
      </c>
      <c r="B2" s="15" t="s">
        <v>41</v>
      </c>
      <c r="C2" s="9" t="s">
        <v>47</v>
      </c>
    </row>
    <row r="3" spans="1:18" ht="13.5" thickBot="1"/>
    <row r="4" spans="1:18" ht="14.25" thickTop="1" thickBot="1">
      <c r="A4" s="6" t="s">
        <v>2</v>
      </c>
      <c r="C4" s="16" t="s">
        <v>45</v>
      </c>
      <c r="D4" s="17" t="s">
        <v>45</v>
      </c>
    </row>
    <row r="5" spans="1:18" ht="13.5" thickTop="1"/>
    <row r="6" spans="1:18">
      <c r="A6" s="6" t="s">
        <v>3</v>
      </c>
    </row>
    <row r="7" spans="1:18">
      <c r="A7" t="s">
        <v>4</v>
      </c>
      <c r="C7">
        <v>47881.472000000002</v>
      </c>
    </row>
    <row r="8" spans="1:18">
      <c r="A8" t="s">
        <v>5</v>
      </c>
      <c r="C8">
        <v>0.33099999999103602</v>
      </c>
      <c r="D8">
        <v>0.33099999999103602</v>
      </c>
    </row>
    <row r="10" spans="1:18" ht="13.5" thickBot="1">
      <c r="C10" s="5" t="s">
        <v>21</v>
      </c>
      <c r="D10" s="5" t="s">
        <v>22</v>
      </c>
    </row>
    <row r="11" spans="1:18">
      <c r="A11" t="s">
        <v>17</v>
      </c>
      <c r="C11">
        <f>INTERCEPT(G21:G931,F21:F931)</f>
        <v>2.4714281590346807E-2</v>
      </c>
      <c r="D11" s="4"/>
    </row>
    <row r="12" spans="1:18">
      <c r="A12" t="s">
        <v>18</v>
      </c>
      <c r="C12">
        <f>SLOPE(G21:G931,F21:F931)</f>
        <v>-4.1808939215618695E-6</v>
      </c>
      <c r="D12" s="4"/>
    </row>
    <row r="13" spans="1:18">
      <c r="A13" t="s">
        <v>20</v>
      </c>
      <c r="C13" s="4" t="s">
        <v>15</v>
      </c>
      <c r="D13" s="4"/>
    </row>
    <row r="14" spans="1:18">
      <c r="A14" t="s">
        <v>25</v>
      </c>
      <c r="C14" s="9" t="s">
        <v>46</v>
      </c>
    </row>
    <row r="15" spans="1:18">
      <c r="A15" s="3" t="s">
        <v>19</v>
      </c>
      <c r="C15" s="19">
        <f>(C7+C11)+(C8+C12)*INT(MAX(F21:F3533))</f>
        <v>53476.319044480122</v>
      </c>
      <c r="D15" s="11">
        <v>53141.224999999999</v>
      </c>
      <c r="Q15" t="s">
        <v>42</v>
      </c>
      <c r="R15">
        <f>SUM(R21:R1291)</f>
        <v>2.3418328638569776E-2</v>
      </c>
    </row>
    <row r="16" spans="1:18">
      <c r="A16" s="6" t="s">
        <v>6</v>
      </c>
      <c r="C16" s="19">
        <f>+C8+C12</f>
        <v>0.33099581909711445</v>
      </c>
      <c r="Q16" t="s">
        <v>43</v>
      </c>
      <c r="R16">
        <f>COUNT(R21:R1268)</f>
        <v>13</v>
      </c>
    </row>
    <row r="17" spans="1:18" ht="13.5" thickBot="1">
      <c r="Q17" t="s">
        <v>44</v>
      </c>
      <c r="R17">
        <f>SQRT(R15/(R16-1))</f>
        <v>4.4176095193526117E-2</v>
      </c>
    </row>
    <row r="18" spans="1:18" ht="14.25" thickTop="1" thickBot="1">
      <c r="A18" s="6" t="s">
        <v>7</v>
      </c>
      <c r="C18" s="20">
        <f>+C15</f>
        <v>53476.319044480122</v>
      </c>
      <c r="D18" s="21">
        <f>+C16</f>
        <v>0.33099581909711445</v>
      </c>
    </row>
    <row r="19" spans="1:18" ht="13.5" thickTop="1">
      <c r="C19">
        <f>COUNT(C21:C2187)</f>
        <v>13</v>
      </c>
    </row>
    <row r="20" spans="1:18" ht="13.5" thickBot="1">
      <c r="A20" s="5" t="s">
        <v>8</v>
      </c>
      <c r="B20" s="5" t="s">
        <v>9</v>
      </c>
      <c r="C20" s="5" t="s">
        <v>10</v>
      </c>
      <c r="D20" s="5" t="s">
        <v>14</v>
      </c>
      <c r="E20" s="5" t="s">
        <v>11</v>
      </c>
      <c r="F20" s="5" t="s">
        <v>12</v>
      </c>
      <c r="G20" s="5" t="s">
        <v>13</v>
      </c>
      <c r="H20" s="8" t="s">
        <v>32</v>
      </c>
      <c r="I20" s="8" t="s">
        <v>31</v>
      </c>
      <c r="J20" s="8" t="s">
        <v>39</v>
      </c>
      <c r="K20" s="8" t="s">
        <v>27</v>
      </c>
      <c r="L20" s="8" t="s">
        <v>28</v>
      </c>
      <c r="M20" s="8" t="s">
        <v>29</v>
      </c>
      <c r="N20" s="8" t="s">
        <v>30</v>
      </c>
      <c r="O20" s="8" t="s">
        <v>24</v>
      </c>
      <c r="P20" s="7" t="s">
        <v>23</v>
      </c>
      <c r="Q20" s="5" t="s">
        <v>16</v>
      </c>
    </row>
    <row r="21" spans="1:18">
      <c r="A21" t="s">
        <v>32</v>
      </c>
      <c r="B21" s="4"/>
      <c r="C21">
        <v>48797.270779999999</v>
      </c>
      <c r="D21" s="4" t="s">
        <v>15</v>
      </c>
      <c r="E21">
        <f t="shared" ref="E21:E33" si="0">+(C21-C$7)/C$8</f>
        <v>2766.7636858755245</v>
      </c>
      <c r="F21">
        <f t="shared" ref="F21:F33" si="1">ROUND(2*E21,0)/2</f>
        <v>2767</v>
      </c>
      <c r="G21">
        <f t="shared" ref="G21:G33" si="2">+C21-(C$7+F21*C$8)</f>
        <v>-7.821997519931756E-2</v>
      </c>
      <c r="H21">
        <f>+G21</f>
        <v>-7.821997519931756E-2</v>
      </c>
      <c r="O21">
        <f t="shared" ref="O21:O33" si="3">+C$11+C$12*$F21</f>
        <v>1.3145748109385114E-2</v>
      </c>
      <c r="Q21" s="2">
        <f t="shared" ref="Q21:Q33" si="4">+C21-15018.5</f>
        <v>33778.770779999999</v>
      </c>
      <c r="R21">
        <f>+(O21-G21)^2</f>
        <v>8.3476953957224136E-3</v>
      </c>
    </row>
    <row r="22" spans="1:18">
      <c r="A22" t="s">
        <v>32</v>
      </c>
      <c r="B22" s="4"/>
      <c r="C22">
        <v>48023.362390000002</v>
      </c>
      <c r="D22" s="4"/>
      <c r="E22">
        <f t="shared" si="0"/>
        <v>428.67187312339303</v>
      </c>
      <c r="F22">
        <f t="shared" si="1"/>
        <v>428.5</v>
      </c>
      <c r="G22">
        <f t="shared" si="2"/>
        <v>5.6890003841544967E-2</v>
      </c>
      <c r="H22">
        <f>+G22</f>
        <v>5.6890003841544967E-2</v>
      </c>
      <c r="O22">
        <f t="shared" si="3"/>
        <v>2.2922768544957547E-2</v>
      </c>
      <c r="Q22" s="2">
        <f t="shared" si="4"/>
        <v>33004.862390000002</v>
      </c>
      <c r="R22">
        <f t="shared" ref="R22:R33" si="5">+(O22-G22)^2</f>
        <v>1.1537730736937344E-3</v>
      </c>
    </row>
    <row r="23" spans="1:18">
      <c r="A23" t="s">
        <v>32</v>
      </c>
      <c r="B23" s="4"/>
      <c r="C23">
        <v>48197.641790000001</v>
      </c>
      <c r="D23" s="4"/>
      <c r="E23">
        <f t="shared" si="0"/>
        <v>955.19574020713674</v>
      </c>
      <c r="F23">
        <f t="shared" si="1"/>
        <v>955</v>
      </c>
      <c r="G23">
        <f t="shared" si="2"/>
        <v>6.4790008560521528E-2</v>
      </c>
      <c r="H23">
        <f>+G23</f>
        <v>6.4790008560521528E-2</v>
      </c>
      <c r="O23">
        <f t="shared" si="3"/>
        <v>2.0721527895255221E-2</v>
      </c>
      <c r="Q23" s="2">
        <f t="shared" si="4"/>
        <v>33179.141790000001</v>
      </c>
      <c r="R23">
        <f t="shared" si="5"/>
        <v>1.9420309881449504E-3</v>
      </c>
    </row>
    <row r="24" spans="1:18">
      <c r="A24" t="s">
        <v>32</v>
      </c>
      <c r="B24" s="4"/>
      <c r="C24">
        <v>48389.968049999996</v>
      </c>
      <c r="D24" s="4" t="s">
        <v>15</v>
      </c>
      <c r="E24">
        <f t="shared" si="0"/>
        <v>1536.2418429418885</v>
      </c>
      <c r="F24">
        <f t="shared" si="1"/>
        <v>1536</v>
      </c>
      <c r="G24">
        <f t="shared" si="2"/>
        <v>8.0050013762956951E-2</v>
      </c>
      <c r="H24">
        <f>+G24</f>
        <v>8.0050013762956951E-2</v>
      </c>
      <c r="O24">
        <f t="shared" si="3"/>
        <v>1.8292428526827775E-2</v>
      </c>
      <c r="Q24" s="2">
        <f t="shared" si="4"/>
        <v>33371.468049999996</v>
      </c>
      <c r="R24">
        <f t="shared" si="5"/>
        <v>3.8139993341977604E-3</v>
      </c>
    </row>
    <row r="25" spans="1:18">
      <c r="A25" t="s">
        <v>32</v>
      </c>
      <c r="B25" s="4"/>
      <c r="C25">
        <v>48418.029089999996</v>
      </c>
      <c r="D25" s="4"/>
      <c r="E25">
        <f t="shared" si="0"/>
        <v>1621.0183988354247</v>
      </c>
      <c r="F25">
        <f t="shared" si="1"/>
        <v>1621</v>
      </c>
      <c r="G25">
        <f t="shared" si="2"/>
        <v>6.0900145253981464E-3</v>
      </c>
      <c r="H25">
        <f>+G25</f>
        <v>6.0900145253981464E-3</v>
      </c>
      <c r="O25">
        <f t="shared" si="3"/>
        <v>1.7937052543495015E-2</v>
      </c>
      <c r="Q25" s="2">
        <f t="shared" si="4"/>
        <v>33399.529089999996</v>
      </c>
      <c r="R25">
        <f t="shared" si="5"/>
        <v>1.4035230980223259E-4</v>
      </c>
    </row>
    <row r="26" spans="1:18">
      <c r="A26" t="s">
        <v>33</v>
      </c>
      <c r="B26" s="4" t="s">
        <v>34</v>
      </c>
      <c r="C26" s="10">
        <v>48499.971400000002</v>
      </c>
      <c r="D26" s="4"/>
      <c r="E26">
        <f t="shared" si="0"/>
        <v>1868.5782477847447</v>
      </c>
      <c r="F26">
        <f t="shared" si="1"/>
        <v>1868.5</v>
      </c>
      <c r="G26">
        <f t="shared" si="2"/>
        <v>2.590001674980158E-2</v>
      </c>
      <c r="I26">
        <f>+G26</f>
        <v>2.590001674980158E-2</v>
      </c>
      <c r="O26">
        <f t="shared" si="3"/>
        <v>1.6902281297908453E-2</v>
      </c>
      <c r="Q26" s="2">
        <f t="shared" si="4"/>
        <v>33481.471400000002</v>
      </c>
      <c r="R26">
        <f t="shared" si="5"/>
        <v>8.0959243262254411E-5</v>
      </c>
    </row>
    <row r="27" spans="1:18">
      <c r="A27" t="s">
        <v>32</v>
      </c>
      <c r="B27" s="4"/>
      <c r="C27">
        <v>48546.232660000001</v>
      </c>
      <c r="D27" s="4"/>
      <c r="E27">
        <f t="shared" si="0"/>
        <v>2008.340362592153</v>
      </c>
      <c r="F27">
        <f t="shared" si="1"/>
        <v>2008.5</v>
      </c>
      <c r="G27">
        <f t="shared" si="2"/>
        <v>-5.283998199593043E-2</v>
      </c>
      <c r="H27">
        <f>+G27</f>
        <v>-5.283998199593043E-2</v>
      </c>
      <c r="O27">
        <f t="shared" si="3"/>
        <v>1.631695614888979E-2</v>
      </c>
      <c r="Q27" s="2">
        <f t="shared" si="4"/>
        <v>33527.732660000001</v>
      </c>
      <c r="R27">
        <f t="shared" si="5"/>
        <v>4.7826820935664887E-3</v>
      </c>
    </row>
    <row r="28" spans="1:18">
      <c r="A28" t="s">
        <v>32</v>
      </c>
      <c r="B28" s="4"/>
      <c r="C28">
        <v>48721.755420000001</v>
      </c>
      <c r="D28" s="4"/>
      <c r="E28">
        <f t="shared" si="0"/>
        <v>2538.6206042983563</v>
      </c>
      <c r="F28">
        <f t="shared" si="1"/>
        <v>2538.5</v>
      </c>
      <c r="G28">
        <f t="shared" si="2"/>
        <v>3.9920022754813544E-2</v>
      </c>
      <c r="H28">
        <f>+G28</f>
        <v>3.9920022754813544E-2</v>
      </c>
      <c r="O28">
        <f t="shared" si="3"/>
        <v>1.4101082370462002E-2</v>
      </c>
      <c r="Q28" s="2">
        <f t="shared" si="4"/>
        <v>33703.255420000001</v>
      </c>
      <c r="R28">
        <f t="shared" si="5"/>
        <v>6.6661768257069895E-4</v>
      </c>
    </row>
    <row r="29" spans="1:18">
      <c r="A29" t="s">
        <v>32</v>
      </c>
      <c r="B29" s="4"/>
      <c r="C29">
        <v>48724.525079999999</v>
      </c>
      <c r="D29" s="4" t="s">
        <v>15</v>
      </c>
      <c r="E29">
        <f t="shared" si="0"/>
        <v>2546.9881571686678</v>
      </c>
      <c r="F29">
        <f t="shared" si="1"/>
        <v>2547</v>
      </c>
      <c r="G29">
        <f t="shared" si="2"/>
        <v>-3.9199771708808839E-3</v>
      </c>
      <c r="H29">
        <f>+G29</f>
        <v>-3.9199771708808839E-3</v>
      </c>
      <c r="O29">
        <f t="shared" si="3"/>
        <v>1.4065544772128727E-2</v>
      </c>
      <c r="Q29" s="2">
        <f t="shared" si="4"/>
        <v>33706.025079999999</v>
      </c>
      <c r="R29">
        <f t="shared" si="5"/>
        <v>3.2347899956248024E-4</v>
      </c>
    </row>
    <row r="30" spans="1:18">
      <c r="A30" t="s">
        <v>35</v>
      </c>
      <c r="B30" s="4" t="s">
        <v>34</v>
      </c>
      <c r="C30">
        <v>52726.283300000003</v>
      </c>
      <c r="D30" s="4">
        <v>5.0000000000000001E-4</v>
      </c>
      <c r="E30">
        <f t="shared" si="0"/>
        <v>14636.892145411499</v>
      </c>
      <c r="F30">
        <f t="shared" si="1"/>
        <v>14637</v>
      </c>
      <c r="G30">
        <f t="shared" si="2"/>
        <v>-3.5699868793017231E-2</v>
      </c>
      <c r="I30">
        <f>+G30</f>
        <v>-3.5699868793017231E-2</v>
      </c>
      <c r="O30">
        <f t="shared" si="3"/>
        <v>-3.6481462739554271E-2</v>
      </c>
      <c r="Q30" s="2">
        <f t="shared" si="4"/>
        <v>37707.783300000003</v>
      </c>
      <c r="R30">
        <f t="shared" si="5"/>
        <v>6.1088909726334582E-7</v>
      </c>
    </row>
    <row r="31" spans="1:18">
      <c r="A31" t="s">
        <v>35</v>
      </c>
      <c r="B31" s="4" t="s">
        <v>36</v>
      </c>
      <c r="C31">
        <v>52726.448799999998</v>
      </c>
      <c r="D31" s="4">
        <v>5.0000000000000001E-4</v>
      </c>
      <c r="E31">
        <f t="shared" si="0"/>
        <v>14637.392145411499</v>
      </c>
      <c r="F31">
        <f t="shared" si="1"/>
        <v>14637.5</v>
      </c>
      <c r="G31">
        <f t="shared" si="2"/>
        <v>-3.5699868793017231E-2</v>
      </c>
      <c r="I31">
        <f>+G31</f>
        <v>-3.5699868793017231E-2</v>
      </c>
      <c r="O31">
        <f t="shared" si="3"/>
        <v>-3.6483553186515055E-2</v>
      </c>
      <c r="Q31" s="2">
        <f t="shared" si="4"/>
        <v>37707.948799999998</v>
      </c>
      <c r="R31">
        <f t="shared" si="5"/>
        <v>6.1416122861205282E-7</v>
      </c>
    </row>
    <row r="32" spans="1:18">
      <c r="A32" t="s">
        <v>37</v>
      </c>
      <c r="B32" s="4" t="s">
        <v>36</v>
      </c>
      <c r="C32" s="11">
        <v>53141.224999999999</v>
      </c>
      <c r="D32" s="11">
        <v>4.0000000000000002E-4</v>
      </c>
      <c r="E32">
        <f t="shared" si="0"/>
        <v>15890.492447560238</v>
      </c>
      <c r="F32">
        <f t="shared" si="1"/>
        <v>15890.5</v>
      </c>
      <c r="G32">
        <f t="shared" si="2"/>
        <v>-2.4998575609060936E-3</v>
      </c>
      <c r="J32">
        <f>+G32</f>
        <v>-2.4998575609060936E-3</v>
      </c>
      <c r="O32">
        <f t="shared" si="3"/>
        <v>-4.1722213270232081E-2</v>
      </c>
      <c r="Q32" s="2">
        <f t="shared" si="4"/>
        <v>38122.724999999999</v>
      </c>
      <c r="R32">
        <f t="shared" si="5"/>
        <v>1.5383931873888968E-3</v>
      </c>
    </row>
    <row r="33" spans="1:18">
      <c r="A33" s="12" t="s">
        <v>38</v>
      </c>
      <c r="B33" s="13"/>
      <c r="C33" s="14">
        <v>53476.459499999997</v>
      </c>
      <c r="D33" s="14">
        <v>2.5999999999999999E-3</v>
      </c>
      <c r="E33">
        <f t="shared" si="0"/>
        <v>16903.285498947178</v>
      </c>
      <c r="F33">
        <f t="shared" si="1"/>
        <v>16903.5</v>
      </c>
      <c r="G33">
        <f t="shared" si="2"/>
        <v>-7.0999848481733352E-2</v>
      </c>
      <c r="I33">
        <f>+G33</f>
        <v>-7.0999848481733352E-2</v>
      </c>
      <c r="O33">
        <f t="shared" si="3"/>
        <v>-4.5957458812774257E-2</v>
      </c>
      <c r="Q33" s="2">
        <f t="shared" si="4"/>
        <v>38457.959499999997</v>
      </c>
      <c r="R33">
        <f t="shared" si="5"/>
        <v>6.2712128033198919E-4</v>
      </c>
    </row>
    <row r="34" spans="1:18">
      <c r="D34" s="4"/>
    </row>
    <row r="35" spans="1:18">
      <c r="D35" s="4"/>
    </row>
    <row r="36" spans="1:18">
      <c r="D36" s="4"/>
    </row>
    <row r="37" spans="1:18">
      <c r="D37" s="4"/>
    </row>
    <row r="38" spans="1:18">
      <c r="D38" s="4"/>
    </row>
    <row r="39" spans="1:18">
      <c r="D39" s="4"/>
    </row>
    <row r="40" spans="1:18">
      <c r="D40" s="4"/>
    </row>
    <row r="41" spans="1:18">
      <c r="D41" s="4"/>
    </row>
    <row r="42" spans="1:18">
      <c r="D42" s="4"/>
    </row>
    <row r="43" spans="1:18">
      <c r="D43" s="4"/>
    </row>
    <row r="44" spans="1:18">
      <c r="D44" s="4"/>
    </row>
    <row r="45" spans="1:18">
      <c r="D45" s="4"/>
    </row>
    <row r="46" spans="1:18">
      <c r="D46" s="4"/>
    </row>
    <row r="47" spans="1:18">
      <c r="D47" s="4"/>
    </row>
    <row r="48" spans="1:18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2023-01-17T03:55:56Z</dcterms:modified>
</cp:coreProperties>
</file>