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CCDD8A3-9EAA-47DE-9AFE-99E325D537C3}" xr6:coauthVersionLast="47" xr6:coauthVersionMax="47" xr10:uidLastSave="{00000000-0000-0000-0000-000000000000}"/>
  <bookViews>
    <workbookView xWindow="14340" yWindow="1425" windowWidth="12975" windowHeight="14640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44" i="1"/>
  <c r="F44" i="1"/>
  <c r="G44" i="1" s="1"/>
  <c r="K44" i="1" s="1"/>
  <c r="Q44" i="1"/>
  <c r="E45" i="1"/>
  <c r="F45" i="1" s="1"/>
  <c r="G45" i="1" s="1"/>
  <c r="K45" i="1" s="1"/>
  <c r="Q45" i="1"/>
  <c r="E46" i="1"/>
  <c r="F46" i="1"/>
  <c r="G46" i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6" i="1"/>
  <c r="F56" i="1" s="1"/>
  <c r="G56" i="1" s="1"/>
  <c r="K56" i="1" s="1"/>
  <c r="Q56" i="1"/>
  <c r="E55" i="1"/>
  <c r="F55" i="1" s="1"/>
  <c r="G55" i="1" s="1"/>
  <c r="K55" i="1" s="1"/>
  <c r="E31" i="1"/>
  <c r="F31" i="1"/>
  <c r="E32" i="1"/>
  <c r="F32" i="1" s="1"/>
  <c r="G32" i="1" s="1"/>
  <c r="K32" i="1" s="1"/>
  <c r="E34" i="1"/>
  <c r="F34" i="1" s="1"/>
  <c r="G34" i="1" s="1"/>
  <c r="J34" i="1" s="1"/>
  <c r="E37" i="1"/>
  <c r="F37" i="1" s="1"/>
  <c r="G37" i="1" s="1"/>
  <c r="K37" i="1" s="1"/>
  <c r="E54" i="1"/>
  <c r="F54" i="1" s="1"/>
  <c r="G54" i="1" s="1"/>
  <c r="K54" i="1" s="1"/>
  <c r="Q55" i="1"/>
  <c r="Q37" i="1"/>
  <c r="Q54" i="1"/>
  <c r="Q33" i="1"/>
  <c r="Q36" i="1"/>
  <c r="Q38" i="1"/>
  <c r="C7" i="1"/>
  <c r="C8" i="1"/>
  <c r="D9" i="1"/>
  <c r="C9" i="1"/>
  <c r="Q31" i="1"/>
  <c r="Q32" i="1"/>
  <c r="G19" i="3"/>
  <c r="C19" i="3"/>
  <c r="G18" i="3"/>
  <c r="C18" i="3"/>
  <c r="E18" i="3"/>
  <c r="G17" i="3"/>
  <c r="C17" i="3"/>
  <c r="G16" i="3"/>
  <c r="C16" i="3"/>
  <c r="G15" i="3"/>
  <c r="C15" i="3"/>
  <c r="G14" i="3"/>
  <c r="C14" i="3"/>
  <c r="G20" i="3"/>
  <c r="C20" i="3"/>
  <c r="E20" i="3"/>
  <c r="G13" i="3"/>
  <c r="C13" i="3"/>
  <c r="G12" i="3"/>
  <c r="C12" i="3"/>
  <c r="G21" i="3"/>
  <c r="C21" i="3"/>
  <c r="E21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20" i="3"/>
  <c r="B20" i="3"/>
  <c r="D20" i="3"/>
  <c r="A20" i="3"/>
  <c r="H13" i="3"/>
  <c r="B13" i="3"/>
  <c r="D13" i="3"/>
  <c r="A13" i="3"/>
  <c r="H12" i="3"/>
  <c r="B12" i="3"/>
  <c r="D12" i="3"/>
  <c r="A12" i="3"/>
  <c r="H21" i="3"/>
  <c r="B21" i="3"/>
  <c r="D21" i="3"/>
  <c r="A21" i="3"/>
  <c r="Q34" i="1"/>
  <c r="Q35" i="1"/>
  <c r="Q27" i="1"/>
  <c r="Q28" i="1"/>
  <c r="Q29" i="1"/>
  <c r="E27" i="2"/>
  <c r="F27" i="2"/>
  <c r="G27" i="2"/>
  <c r="K27" i="2"/>
  <c r="F11" i="2"/>
  <c r="E21" i="2"/>
  <c r="F21" i="2"/>
  <c r="G21" i="2"/>
  <c r="I21" i="2"/>
  <c r="E22" i="2"/>
  <c r="F22" i="2"/>
  <c r="G22" i="2"/>
  <c r="H22" i="2"/>
  <c r="E23" i="2"/>
  <c r="F23" i="2"/>
  <c r="G23" i="2"/>
  <c r="I23" i="2"/>
  <c r="E24" i="2"/>
  <c r="F24" i="2"/>
  <c r="G24" i="2"/>
  <c r="J24" i="2"/>
  <c r="E25" i="2"/>
  <c r="F25" i="2"/>
  <c r="G25" i="2"/>
  <c r="J25" i="2"/>
  <c r="E26" i="2"/>
  <c r="F26" i="2"/>
  <c r="G26" i="2"/>
  <c r="I26" i="2"/>
  <c r="G11" i="2"/>
  <c r="E14" i="2"/>
  <c r="E15" i="2" s="1"/>
  <c r="C17" i="2"/>
  <c r="Q21" i="2"/>
  <c r="Q22" i="2"/>
  <c r="Q23" i="2"/>
  <c r="Q24" i="2"/>
  <c r="Q25" i="2"/>
  <c r="Q26" i="2"/>
  <c r="Q27" i="2"/>
  <c r="Q30" i="1"/>
  <c r="Q26" i="1"/>
  <c r="F16" i="1"/>
  <c r="F17" i="1" s="1"/>
  <c r="C17" i="1"/>
  <c r="Q25" i="1"/>
  <c r="Q24" i="1"/>
  <c r="Q21" i="1"/>
  <c r="Q23" i="1"/>
  <c r="Q22" i="1"/>
  <c r="E26" i="1"/>
  <c r="F26" i="1" s="1"/>
  <c r="G26" i="1" s="1"/>
  <c r="K26" i="1" s="1"/>
  <c r="E21" i="1"/>
  <c r="F21" i="1"/>
  <c r="G21" i="1" s="1"/>
  <c r="I21" i="1" s="1"/>
  <c r="E22" i="1"/>
  <c r="F22" i="1" s="1"/>
  <c r="G22" i="1" s="1"/>
  <c r="K22" i="1" s="1"/>
  <c r="E24" i="1"/>
  <c r="F24" i="1" s="1"/>
  <c r="G24" i="1" s="1"/>
  <c r="K24" i="1" s="1"/>
  <c r="E25" i="1"/>
  <c r="F25" i="1" s="1"/>
  <c r="G25" i="1" s="1"/>
  <c r="K25" i="1" s="1"/>
  <c r="E27" i="1"/>
  <c r="E14" i="3" s="1"/>
  <c r="F27" i="1"/>
  <c r="G27" i="1" s="1"/>
  <c r="J27" i="1" s="1"/>
  <c r="E23" i="1"/>
  <c r="F23" i="1" s="1"/>
  <c r="G23" i="1" s="1"/>
  <c r="K23" i="1" s="1"/>
  <c r="E12" i="3"/>
  <c r="G31" i="1"/>
  <c r="K31" i="1" s="1"/>
  <c r="E29" i="1"/>
  <c r="F29" i="1" s="1"/>
  <c r="G29" i="1" s="1"/>
  <c r="J29" i="1" s="1"/>
  <c r="E36" i="1"/>
  <c r="F36" i="1" s="1"/>
  <c r="G36" i="1" s="1"/>
  <c r="K36" i="1" s="1"/>
  <c r="E28" i="1"/>
  <c r="E15" i="3" s="1"/>
  <c r="F28" i="1"/>
  <c r="G28" i="1" s="1"/>
  <c r="J28" i="1" s="1"/>
  <c r="E33" i="1"/>
  <c r="F33" i="1" s="1"/>
  <c r="G33" i="1" s="1"/>
  <c r="K33" i="1" s="1"/>
  <c r="E38" i="1"/>
  <c r="F38" i="1"/>
  <c r="G38" i="1" s="1"/>
  <c r="K38" i="1" s="1"/>
  <c r="E30" i="1"/>
  <c r="F30" i="1" s="1"/>
  <c r="G30" i="1" s="1"/>
  <c r="K30" i="1" s="1"/>
  <c r="E35" i="1"/>
  <c r="F35" i="1" s="1"/>
  <c r="G35" i="1" s="1"/>
  <c r="J35" i="1" s="1"/>
  <c r="C12" i="1"/>
  <c r="C11" i="1"/>
  <c r="C12" i="2"/>
  <c r="E19" i="3" l="1"/>
  <c r="E16" i="3"/>
  <c r="O41" i="1"/>
  <c r="O45" i="1"/>
  <c r="O49" i="1"/>
  <c r="O53" i="1"/>
  <c r="O39" i="1"/>
  <c r="O43" i="1"/>
  <c r="O47" i="1"/>
  <c r="O51" i="1"/>
  <c r="O40" i="1"/>
  <c r="O44" i="1"/>
  <c r="O48" i="1"/>
  <c r="O52" i="1"/>
  <c r="O42" i="1"/>
  <c r="O46" i="1"/>
  <c r="O50" i="1"/>
  <c r="O56" i="1"/>
  <c r="E13" i="3"/>
  <c r="E17" i="3"/>
  <c r="C16" i="2"/>
  <c r="D18" i="2" s="1"/>
  <c r="O38" i="1"/>
  <c r="O24" i="1"/>
  <c r="O22" i="1"/>
  <c r="O32" i="1"/>
  <c r="O55" i="1"/>
  <c r="O27" i="1"/>
  <c r="O30" i="1"/>
  <c r="O54" i="1"/>
  <c r="O23" i="1"/>
  <c r="O33" i="1"/>
  <c r="C15" i="1"/>
  <c r="O25" i="1"/>
  <c r="O29" i="1"/>
  <c r="O26" i="1"/>
  <c r="O31" i="1"/>
  <c r="O28" i="1"/>
  <c r="O34" i="1"/>
  <c r="O21" i="1"/>
  <c r="O37" i="1"/>
  <c r="O35" i="1"/>
  <c r="O36" i="1"/>
  <c r="C16" i="1"/>
  <c r="D18" i="1" s="1"/>
  <c r="C11" i="2"/>
  <c r="F18" i="1" l="1"/>
  <c r="F19" i="1" s="1"/>
  <c r="O26" i="2"/>
  <c r="O21" i="2"/>
  <c r="C15" i="2"/>
  <c r="O27" i="2"/>
  <c r="O23" i="2"/>
  <c r="O25" i="2"/>
  <c r="O22" i="2"/>
  <c r="O24" i="2"/>
  <c r="C18" i="1"/>
  <c r="E16" i="2" l="1"/>
  <c r="E17" i="2" s="1"/>
  <c r="C18" i="2"/>
</calcChain>
</file>

<file path=xl/sharedStrings.xml><?xml version="1.0" encoding="utf-8"?>
<sst xmlns="http://schemas.openxmlformats.org/spreadsheetml/2006/main" count="284" uniqueCount="125">
  <si>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</si>
  <si>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</si>
  <si>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</si>
  <si>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</si>
  <si>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</si>
  <si>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</si>
  <si>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</si>
  <si>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</si>
  <si>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</si>
  <si>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</si>
  <si>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</si>
  <si>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</si>
  <si>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</si>
  <si>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</si>
  <si>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</si>
  <si>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</si>
  <si>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</si>
  <si>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</si>
  <si>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</si>
  <si>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</si>
  <si>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</si>
  <si>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</si>
  <si>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</si>
  <si>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</si>
  <si>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</si>
  <si>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</si>
  <si>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</si>
  <si>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</si>
  <si>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</si>
  <si>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</si>
  <si>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</si>
  <si>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</si>
  <si>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</si>
  <si>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</si>
  <si>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</si>
  <si>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</si>
  <si>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</si>
  <si>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GU Leo / GSC 1414-0851</t>
  </si>
  <si>
    <t>EW</t>
  </si>
  <si>
    <t>IBVS 5894</t>
  </si>
  <si>
    <t>I</t>
  </si>
  <si>
    <t>OEJV 0060</t>
  </si>
  <si>
    <t>II</t>
  </si>
  <si>
    <t>vis</t>
  </si>
  <si>
    <t>OEJV 0094</t>
  </si>
  <si>
    <t>OEJV</t>
  </si>
  <si>
    <t>IBVS 5945</t>
  </si>
  <si>
    <t>Add cycle</t>
  </si>
  <si>
    <t>Old Cycle</t>
  </si>
  <si>
    <t>OEJV 0137</t>
  </si>
  <si>
    <t>RHN 2012</t>
  </si>
  <si>
    <t>Nelson</t>
  </si>
  <si>
    <t>IBVS 5959</t>
  </si>
  <si>
    <t>IBVS 6010</t>
  </si>
  <si>
    <t>IBVS 6050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</si>
  <si>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</si>
  <si>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</si>
  <si>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</si>
  <si>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</si>
  <si>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</si>
  <si>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</si>
  <si>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</si>
  <si>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</si>
  <si>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</si>
  <si>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</si>
  <si>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</si>
  <si>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2454500.5663 </t>
  </si>
  <si>
    <t> 04.02.2008 01:35 </t>
  </si>
  <si>
    <t> 0.0542 </t>
  </si>
  <si>
    <t>C </t>
  </si>
  <si>
    <t>R</t>
  </si>
  <si>
    <t> R.Uhlar </t>
  </si>
  <si>
    <t>OEJV 0094 </t>
  </si>
  <si>
    <t>2454852.8794 </t>
  </si>
  <si>
    <t> 21.01.2009 09:06 </t>
  </si>
  <si>
    <t> 0.0617 </t>
  </si>
  <si>
    <t> R.Diethelm </t>
  </si>
  <si>
    <t>IBVS 5894 </t>
  </si>
  <si>
    <t>2455245.9143 </t>
  </si>
  <si>
    <t> 18.02.2010 09:56 </t>
  </si>
  <si>
    <t> 0.0722 </t>
  </si>
  <si>
    <t>IBVS 5945 </t>
  </si>
  <si>
    <t>2455265.3908 </t>
  </si>
  <si>
    <t> 09.03.2010 21:22 </t>
  </si>
  <si>
    <t> 0.0745 </t>
  </si>
  <si>
    <t> J.Trnka </t>
  </si>
  <si>
    <t>OEJV 0137 </t>
  </si>
  <si>
    <t>2455289.4694 </t>
  </si>
  <si>
    <t> 02.04.2010 23:15 </t>
  </si>
  <si>
    <t> 0.0759 </t>
  </si>
  <si>
    <t>-I</t>
  </si>
  <si>
    <t> F.Agerer </t>
  </si>
  <si>
    <t>BAVM 214 </t>
  </si>
  <si>
    <t>2455625.3181 </t>
  </si>
  <si>
    <t> 04.03.2011 19:38 </t>
  </si>
  <si>
    <t>9150.5</t>
  </si>
  <si>
    <t> 0.0836 </t>
  </si>
  <si>
    <t>BAVM 220 </t>
  </si>
  <si>
    <t>2455625.4951 </t>
  </si>
  <si>
    <t> 04.03.2011 23:52 </t>
  </si>
  <si>
    <t>9151</t>
  </si>
  <si>
    <t> 0.0835 </t>
  </si>
  <si>
    <t>2455984.7157 </t>
  </si>
  <si>
    <t> 27.02.2012 05:10 </t>
  </si>
  <si>
    <t>10165.5</t>
  </si>
  <si>
    <t> 0.0940 </t>
  </si>
  <si>
    <t> R.Nelson </t>
  </si>
  <si>
    <t>IBVS 6050 </t>
  </si>
  <si>
    <t>2457074.4157 </t>
  </si>
  <si>
    <t> 20.02.2015 21:58 </t>
  </si>
  <si>
    <t>13243</t>
  </si>
  <si>
    <t> 0.1251 </t>
  </si>
  <si>
    <t>BAVM 239 </t>
  </si>
  <si>
    <t>2457074.5931 </t>
  </si>
  <si>
    <t> 21.02.2015 02:14 </t>
  </si>
  <si>
    <t>13243.5</t>
  </si>
  <si>
    <t> 0.1255 </t>
  </si>
  <si>
    <t>OEJV 0179</t>
  </si>
  <si>
    <t>JAVSO..44…69</t>
  </si>
  <si>
    <t>VSB-64</t>
  </si>
  <si>
    <t>JAVSO..46..184</t>
  </si>
  <si>
    <t>VSB 069</t>
  </si>
  <si>
    <t>RHN 2021</t>
  </si>
  <si>
    <t>JAAVSO, 50, 255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</si>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</sst>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24" borderId="0" xfId="0" applyFont="1" applyFill="1" applyAlignment="1"/>
    <xf numFmtId="0" fontId="15" fillId="24" borderId="0" xfId="0" applyFont="1" applyFill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7" fillId="25" borderId="17" xfId="38" applyFill="1" applyBorder="1" applyAlignment="1" applyProtection="1">
      <alignment horizontal="right" vertical="top" wrapText="1"/>
    </xf>
    <xf numFmtId="0" fontId="34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left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0" applyFont="1" applyAlignment="1">
      <alignment horizontal="left" wrapText="1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/>
    <xf numFmtId="0" fontId="36" fillId="0" borderId="0" xfId="0" applyFont="1" applyBorder="1" applyAlignment="1">
      <alignment horizontal="center"/>
    </xf>
    <xf numFmtId="176" fontId="36" fillId="0" borderId="0" xfId="0" applyNumberFormat="1" applyFont="1" applyFill="1" applyBorder="1" applyAlignment="1" applyProtection="1">
      <alignment horizontal="left" vertical="top"/>
    </xf>
    <xf numFmtId="0" fontId="36" fillId="0" borderId="0" xfId="0" applyNumberFormat="1" applyFont="1" applyFill="1" applyBorder="1" applyAlignment="1" applyProtection="1">
      <alignment horizontal="left" vertical="top"/>
    </xf>
    <xf numFmtId="0" fontId="14" fillId="0" borderId="0" xfId="0" applyFont="1" applyAlignment="1"/>
    <xf numFmtId="0" fontId="14" fillId="0" borderId="0" xfId="42" applyFont="1"/>
    <xf numFmtId="0" fontId="14" fillId="0" borderId="0" xfId="42" applyFont="1" applyAlignment="1">
      <alignment horizontal="center"/>
    </xf>
    <xf numFmtId="0" fontId="14" fillId="0" borderId="0" xfId="42" applyFont="1" applyAlignment="1">
      <alignment horizontal="left"/>
    </xf>
    <xf numFmtId="0" fontId="15" fillId="0" borderId="0" xfId="0" applyFont="1" applyFill="1" applyAlignment="1"/>
    <xf numFmtId="0" fontId="3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7" fontId="37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Leo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19654.5</c:v>
                </c:pt>
                <c:pt idx="35">
                  <c:v>20687.5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23-4254-9CF2-78ECD3BF61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19654.5</c:v>
                </c:pt>
                <c:pt idx="35">
                  <c:v>20687.5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-7.7103999996325001E-2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23-4254-9CF2-78ECD3BF613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19654.5</c:v>
                </c:pt>
                <c:pt idx="35">
                  <c:v>20687.5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6">
                  <c:v>7.5948000005155336E-2</c:v>
                </c:pt>
                <c:pt idx="7">
                  <c:v>8.3561999999801628E-2</c:v>
                </c:pt>
                <c:pt idx="8">
                  <c:v>8.3524000001489185E-2</c:v>
                </c:pt>
                <c:pt idx="13">
                  <c:v>0.12513200000103097</c:v>
                </c:pt>
                <c:pt idx="14">
                  <c:v>0.12549399999988964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23-4254-9CF2-78ECD3BF613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19654.5</c:v>
                </c:pt>
                <c:pt idx="35">
                  <c:v>20687.5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</c:v>
                </c:pt>
                <c:pt idx="2">
                  <c:v>5.420600000070408E-2</c:v>
                </c:pt>
                <c:pt idx="3">
                  <c:v>6.1655999998038169E-2</c:v>
                </c:pt>
                <c:pt idx="4">
                  <c:v>7.2195999993709847E-2</c:v>
                </c:pt>
                <c:pt idx="5">
                  <c:v>7.4555999999574851E-2</c:v>
                </c:pt>
                <c:pt idx="9">
                  <c:v>9.4021999997494277E-2</c:v>
                </c:pt>
                <c:pt idx="10">
                  <c:v>0.12817000000359258</c:v>
                </c:pt>
                <c:pt idx="11">
                  <c:v>0.12465800000063609</c:v>
                </c:pt>
                <c:pt idx="12">
                  <c:v>0.12468400000216207</c:v>
                </c:pt>
                <c:pt idx="15">
                  <c:v>0.14460200000030454</c:v>
                </c:pt>
                <c:pt idx="16">
                  <c:v>0.14385200000106124</c:v>
                </c:pt>
                <c:pt idx="17">
                  <c:v>0.15156199999910314</c:v>
                </c:pt>
                <c:pt idx="18">
                  <c:v>0.1482319999995525</c:v>
                </c:pt>
                <c:pt idx="19">
                  <c:v>0.14873199999419739</c:v>
                </c:pt>
                <c:pt idx="20">
                  <c:v>0.14943199999834178</c:v>
                </c:pt>
                <c:pt idx="21">
                  <c:v>0.14962000000377884</c:v>
                </c:pt>
                <c:pt idx="22">
                  <c:v>0.14972000000125263</c:v>
                </c:pt>
                <c:pt idx="23">
                  <c:v>0.14992000000347616</c:v>
                </c:pt>
                <c:pt idx="24">
                  <c:v>0.14970199999515899</c:v>
                </c:pt>
                <c:pt idx="25">
                  <c:v>0.14970199999515899</c:v>
                </c:pt>
                <c:pt idx="26">
                  <c:v>0.15000199999485631</c:v>
                </c:pt>
                <c:pt idx="27">
                  <c:v>0.14992799999890849</c:v>
                </c:pt>
                <c:pt idx="28">
                  <c:v>0.15052799999830313</c:v>
                </c:pt>
                <c:pt idx="29">
                  <c:v>0.15082799999800045</c:v>
                </c:pt>
                <c:pt idx="30">
                  <c:v>0.15170999999827472</c:v>
                </c:pt>
                <c:pt idx="31">
                  <c:v>0.15260999999736669</c:v>
                </c:pt>
                <c:pt idx="32">
                  <c:v>0.15271000000211643</c:v>
                </c:pt>
                <c:pt idx="33">
                  <c:v>0.16819599999871571</c:v>
                </c:pt>
                <c:pt idx="34">
                  <c:v>0.18315799999982119</c:v>
                </c:pt>
                <c:pt idx="35">
                  <c:v>0.1933500000013737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23-4254-9CF2-78ECD3BF613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19654.5</c:v>
                </c:pt>
                <c:pt idx="35">
                  <c:v>20687.5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23-4254-9CF2-78ECD3BF61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19654.5</c:v>
                </c:pt>
                <c:pt idx="35">
                  <c:v>20687.5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23-4254-9CF2-78ECD3BF61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1.1999999999999999E-3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4.0000000000000002E-4</c:v>
                  </c:pt>
                  <c:pt idx="12">
                    <c:v>2.0000000000000001E-4</c:v>
                  </c:pt>
                  <c:pt idx="13">
                    <c:v>6.9999999999999999E-4</c:v>
                  </c:pt>
                  <c:pt idx="14">
                    <c:v>8.0000000000000004E-4</c:v>
                  </c:pt>
                  <c:pt idx="15">
                    <c:v>0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1E-4</c:v>
                  </c:pt>
                  <c:pt idx="19">
                    <c:v>4.0000000000000002E-4</c:v>
                  </c:pt>
                  <c:pt idx="20">
                    <c:v>5.0000000000000001E-4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27">
                    <c:v>5.9999999999999995E-4</c:v>
                  </c:pt>
                  <c:pt idx="28">
                    <c:v>2.9999999999999997E-4</c:v>
                  </c:pt>
                  <c:pt idx="29">
                    <c:v>4.0000000000000002E-4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5.9999999999999995E-4</c:v>
                  </c:pt>
                  <c:pt idx="33">
                    <c:v>0</c:v>
                  </c:pt>
                  <c:pt idx="34">
                    <c:v>2E-3</c:v>
                  </c:pt>
                  <c:pt idx="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19654.5</c:v>
                </c:pt>
                <c:pt idx="35">
                  <c:v>20687.5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23-4254-9CF2-78ECD3BF613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-6921</c:v>
                </c:pt>
                <c:pt idx="1">
                  <c:v>0</c:v>
                </c:pt>
                <c:pt idx="2">
                  <c:v>5974</c:v>
                </c:pt>
                <c:pt idx="3">
                  <c:v>6969</c:v>
                </c:pt>
                <c:pt idx="4">
                  <c:v>8079</c:v>
                </c:pt>
                <c:pt idx="5">
                  <c:v>8134</c:v>
                </c:pt>
                <c:pt idx="6">
                  <c:v>8202</c:v>
                </c:pt>
                <c:pt idx="7">
                  <c:v>9150.5</c:v>
                </c:pt>
                <c:pt idx="8">
                  <c:v>9151</c:v>
                </c:pt>
                <c:pt idx="9">
                  <c:v>10165.5</c:v>
                </c:pt>
                <c:pt idx="10">
                  <c:v>13150</c:v>
                </c:pt>
                <c:pt idx="11">
                  <c:v>13232</c:v>
                </c:pt>
                <c:pt idx="12">
                  <c:v>13241</c:v>
                </c:pt>
                <c:pt idx="13">
                  <c:v>13243</c:v>
                </c:pt>
                <c:pt idx="14">
                  <c:v>13243.5</c:v>
                </c:pt>
                <c:pt idx="15">
                  <c:v>15210.5</c:v>
                </c:pt>
                <c:pt idx="16">
                  <c:v>15523</c:v>
                </c:pt>
                <c:pt idx="17">
                  <c:v>16100.5</c:v>
                </c:pt>
                <c:pt idx="18">
                  <c:v>16418</c:v>
                </c:pt>
                <c:pt idx="19">
                  <c:v>16418</c:v>
                </c:pt>
                <c:pt idx="20">
                  <c:v>16418</c:v>
                </c:pt>
                <c:pt idx="21">
                  <c:v>16455</c:v>
                </c:pt>
                <c:pt idx="22">
                  <c:v>16455</c:v>
                </c:pt>
                <c:pt idx="23">
                  <c:v>16455</c:v>
                </c:pt>
                <c:pt idx="24">
                  <c:v>16460.5</c:v>
                </c:pt>
                <c:pt idx="25">
                  <c:v>16460.5</c:v>
                </c:pt>
                <c:pt idx="26">
                  <c:v>16460.5</c:v>
                </c:pt>
                <c:pt idx="27">
                  <c:v>16472</c:v>
                </c:pt>
                <c:pt idx="28">
                  <c:v>16472</c:v>
                </c:pt>
                <c:pt idx="29">
                  <c:v>16472</c:v>
                </c:pt>
                <c:pt idx="30">
                  <c:v>16477.5</c:v>
                </c:pt>
                <c:pt idx="31">
                  <c:v>16477.5</c:v>
                </c:pt>
                <c:pt idx="32">
                  <c:v>16477.5</c:v>
                </c:pt>
                <c:pt idx="33">
                  <c:v>18379</c:v>
                </c:pt>
                <c:pt idx="34">
                  <c:v>19654.5</c:v>
                </c:pt>
                <c:pt idx="35">
                  <c:v>20687.5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-6.9370762116030119E-2</c:v>
                </c:pt>
                <c:pt idx="1">
                  <c:v>-3.7765360594986946E-3</c:v>
                </c:pt>
                <c:pt idx="2">
                  <c:v>5.2842436121070403E-2</c:v>
                </c:pt>
                <c:pt idx="3">
                  <c:v>6.2272613107957953E-2</c:v>
                </c:pt>
                <c:pt idx="4">
                  <c:v>7.2792710048103879E-2</c:v>
                </c:pt>
                <c:pt idx="5">
                  <c:v>7.3313976112705695E-2</c:v>
                </c:pt>
                <c:pt idx="6">
                  <c:v>7.3958450519849769E-2</c:v>
                </c:pt>
                <c:pt idx="7">
                  <c:v>8.2947920743028508E-2</c:v>
                </c:pt>
                <c:pt idx="8">
                  <c:v>8.2952659525433986E-2</c:v>
                </c:pt>
                <c:pt idx="9">
                  <c:v>9.2567649026134916E-2</c:v>
                </c:pt>
                <c:pt idx="10">
                  <c:v>0.12085344120439211</c:v>
                </c:pt>
                <c:pt idx="11">
                  <c:v>0.12163060151888937</c:v>
                </c:pt>
                <c:pt idx="12">
                  <c:v>0.12171589960218786</c:v>
                </c:pt>
                <c:pt idx="13">
                  <c:v>0.12173485473180974</c:v>
                </c:pt>
                <c:pt idx="14">
                  <c:v>0.12173959351421522</c:v>
                </c:pt>
                <c:pt idx="15">
                  <c:v>0.14038196349733867</c:v>
                </c:pt>
                <c:pt idx="16">
                  <c:v>0.14334370250075812</c:v>
                </c:pt>
                <c:pt idx="17">
                  <c:v>0.14881699617907729</c:v>
                </c:pt>
                <c:pt idx="18">
                  <c:v>0.15182612300655141</c:v>
                </c:pt>
                <c:pt idx="19">
                  <c:v>0.15182612300655141</c:v>
                </c:pt>
                <c:pt idx="20">
                  <c:v>0.15182612300655141</c:v>
                </c:pt>
                <c:pt idx="21">
                  <c:v>0.15217679290455632</c:v>
                </c:pt>
                <c:pt idx="22">
                  <c:v>0.15217679290455632</c:v>
                </c:pt>
                <c:pt idx="23">
                  <c:v>0.15217679290455632</c:v>
                </c:pt>
                <c:pt idx="24">
                  <c:v>0.15222891951101647</c:v>
                </c:pt>
                <c:pt idx="25">
                  <c:v>0.15222891951101647</c:v>
                </c:pt>
                <c:pt idx="26">
                  <c:v>0.15222891951101647</c:v>
                </c:pt>
                <c:pt idx="27">
                  <c:v>0.15233791150634229</c:v>
                </c:pt>
                <c:pt idx="28">
                  <c:v>0.15233791150634229</c:v>
                </c:pt>
                <c:pt idx="29">
                  <c:v>0.15233791150634229</c:v>
                </c:pt>
                <c:pt idx="30">
                  <c:v>0.1523900381128025</c:v>
                </c:pt>
                <c:pt idx="31">
                  <c:v>0.1523900381128025</c:v>
                </c:pt>
                <c:pt idx="32">
                  <c:v>0.1523900381128025</c:v>
                </c:pt>
                <c:pt idx="33">
                  <c:v>0.17041162760080919</c:v>
                </c:pt>
                <c:pt idx="34">
                  <c:v>0.18250026151716608</c:v>
                </c:pt>
                <c:pt idx="35">
                  <c:v>0.19229058596686943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23-4254-9CF2-78ECD3BF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49144"/>
        <c:axId val="1"/>
      </c:scatterChart>
      <c:valAx>
        <c:axId val="803049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49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1278195488722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Leo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1">
                  <c:v>5.6968148419400677E-3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3D-4EB0-96B7-48B6A413640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-3.1787763218744658E-3</c:v>
                </c:pt>
                <c:pt idx="2">
                  <c:v>1.010094943922013E-3</c:v>
                </c:pt>
                <c:pt idx="5">
                  <c:v>6.6443295509088784E-5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3D-4EB0-96B7-48B6A413640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3">
                  <c:v>-1.3487862597685307E-3</c:v>
                </c:pt>
                <c:pt idx="4">
                  <c:v>-1.7513572456664406E-3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3D-4EB0-96B7-48B6A413640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6">
                  <c:v>-4.9443324678577483E-4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3D-4EB0-96B7-48B6A413640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3D-4EB0-96B7-48B6A413640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3D-4EB0-96B7-48B6A413640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1E-4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3D-4EB0-96B7-48B6A413640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-17086</c:v>
                </c:pt>
                <c:pt idx="1">
                  <c:v>-10165</c:v>
                </c:pt>
                <c:pt idx="2">
                  <c:v>-4191</c:v>
                </c:pt>
                <c:pt idx="3">
                  <c:v>-3196</c:v>
                </c:pt>
                <c:pt idx="4">
                  <c:v>-2086</c:v>
                </c:pt>
                <c:pt idx="5">
                  <c:v>-2031</c:v>
                </c:pt>
                <c:pt idx="6">
                  <c:v>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-1.5376677451433829E-12</c:v>
                </c:pt>
                <c:pt idx="1">
                  <c:v>6.6260412659058187E-15</c:v>
                </c:pt>
                <c:pt idx="2">
                  <c:v>1.3396142048273984E-12</c:v>
                </c:pt>
                <c:pt idx="3">
                  <c:v>1.5616301443559697E-12</c:v>
                </c:pt>
                <c:pt idx="4">
                  <c:v>1.8093062175988987E-12</c:v>
                </c:pt>
                <c:pt idx="5">
                  <c:v>1.8215784554622871E-12</c:v>
                </c:pt>
                <c:pt idx="6">
                  <c:v>2.27487029581635E-12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3D-4EB0-96B7-48B6A4136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053080"/>
        <c:axId val="1"/>
      </c:scatterChart>
      <c:valAx>
        <c:axId val="80305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05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751879699248121"/>
          <c:y val="0.92375366568914952"/>
          <c:w val="0.7263157894736842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D6E623F-E761-A083-F721-2C141B7B3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5C6D0201-8904-4B5F-8696-7CCB939DE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50" TargetMode="External"/><Relationship Id="rId3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94" TargetMode="External"/><Relationship Id="rId1" Type="http://schemas.openxmlformats.org/officeDocument/2006/relationships/hyperlink" Target="http://var.astro.cz/oejv/issues/oejv0094.pdf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var.astro.cz/oejv/issues/oejv0137.pdf" TargetMode="External"/><Relationship Id="rId9" Type="http://schemas.openxmlformats.org/officeDocument/2006/relationships/hyperlink" Target="http://www.bav-astro.de/sfs/BAVM_link.php?BAVMnr=23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8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29" t="s">
        <v>38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52385.2621</v>
      </c>
      <c r="D4" s="9">
        <v>0.354076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52385.2621</v>
      </c>
    </row>
    <row r="8" spans="1:6" x14ac:dyDescent="0.2">
      <c r="A8" t="s">
        <v>3</v>
      </c>
      <c r="C8">
        <f>+D4</f>
        <v>0.354076</v>
      </c>
    </row>
    <row r="9" spans="1:6" x14ac:dyDescent="0.2">
      <c r="A9" s="27" t="s">
        <v>36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4">
        <f ca="1">INTERCEPT(INDIRECT($D$9):G990,INDIRECT($C$9):F990)</f>
        <v>-3.7765360594986946E-3</v>
      </c>
      <c r="D11" s="3"/>
      <c r="E11" s="12"/>
    </row>
    <row r="12" spans="1:6" x14ac:dyDescent="0.2">
      <c r="A12" s="12" t="s">
        <v>17</v>
      </c>
      <c r="B12" s="12"/>
      <c r="C12" s="24">
        <f ca="1">SLOPE(INDIRECT($D$9):G990,INDIRECT($C$9):F990)</f>
        <v>9.4775648109422663E-6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(C7+C11)+(C8+C12)*INT(MAX(F21:F3531))</f>
        <v>59710.224597847184</v>
      </c>
      <c r="E15" s="16" t="s">
        <v>47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0.35408547756481096</v>
      </c>
      <c r="E16" s="16" t="s">
        <v>32</v>
      </c>
      <c r="F16" s="17">
        <f ca="1">NOW()+15018.5+$C$5/24</f>
        <v>59961.70976273148</v>
      </c>
    </row>
    <row r="17" spans="1:17" ht="13.5" thickBot="1" x14ac:dyDescent="0.25">
      <c r="A17" s="16" t="s">
        <v>29</v>
      </c>
      <c r="B17" s="12"/>
      <c r="C17" s="12">
        <f>COUNT(C21:C2189)</f>
        <v>36</v>
      </c>
      <c r="E17" s="16" t="s">
        <v>48</v>
      </c>
      <c r="F17" s="17">
        <f ca="1">ROUND(2*(F16-$C$7)/$C$8,0)/2+F15</f>
        <v>21399</v>
      </c>
    </row>
    <row r="18" spans="1:17" ht="14.25" thickTop="1" thickBot="1" x14ac:dyDescent="0.25">
      <c r="A18" s="18" t="s">
        <v>5</v>
      </c>
      <c r="B18" s="12"/>
      <c r="C18" s="21">
        <f ca="1">+C15</f>
        <v>59710.224597847184</v>
      </c>
      <c r="D18" s="22">
        <f ca="1">+C16</f>
        <v>0.35408547756481096</v>
      </c>
      <c r="E18" s="16" t="s">
        <v>33</v>
      </c>
      <c r="F18" s="26">
        <f ca="1">ROUND(2*(F16-$C$15)/$C$16,0)/2+F15</f>
        <v>711</v>
      </c>
    </row>
    <row r="19" spans="1:17" ht="13.5" thickTop="1" x14ac:dyDescent="0.2">
      <c r="E19" s="16" t="s">
        <v>34</v>
      </c>
      <c r="F19" s="20">
        <f ca="1">+$C$15+$C$16*F18-15018.5-$C$5/24</f>
        <v>44943.875205729099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63</v>
      </c>
      <c r="I20" s="7" t="s">
        <v>43</v>
      </c>
      <c r="J20" s="7" t="s">
        <v>60</v>
      </c>
      <c r="K20" s="7" t="s">
        <v>58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30" t="s">
        <v>41</v>
      </c>
      <c r="B21" s="31" t="s">
        <v>42</v>
      </c>
      <c r="C21" s="30">
        <v>49934.625</v>
      </c>
      <c r="D21" s="32" t="s">
        <v>43</v>
      </c>
      <c r="E21">
        <f>+(C21-C$7)/C$8</f>
        <v>-6921.2177611586212</v>
      </c>
      <c r="F21">
        <f>ROUND(2*E21,0)/2</f>
        <v>-6921</v>
      </c>
      <c r="G21">
        <f>+C21-(C$7+F21*C$8)</f>
        <v>-7.7103999996325001E-2</v>
      </c>
      <c r="I21">
        <f>+G21</f>
        <v>-7.7103999996325001E-2</v>
      </c>
      <c r="O21">
        <f ca="1">+C$11+C$12*$F21</f>
        <v>-6.9370762116030119E-2</v>
      </c>
      <c r="Q21" s="2">
        <f>+C21-15018.5</f>
        <v>34916.125</v>
      </c>
    </row>
    <row r="22" spans="1:17" x14ac:dyDescent="0.2">
      <c r="A22" s="33" t="s">
        <v>12</v>
      </c>
      <c r="B22" s="33"/>
      <c r="C22" s="30">
        <v>52385.2621</v>
      </c>
      <c r="D22" s="30" t="s">
        <v>14</v>
      </c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-3.7765360594986946E-3</v>
      </c>
      <c r="Q22" s="2">
        <f>+C22-15018.5</f>
        <v>37366.7621</v>
      </c>
    </row>
    <row r="23" spans="1:17" x14ac:dyDescent="0.2">
      <c r="A23" s="30" t="s">
        <v>44</v>
      </c>
      <c r="B23" s="31" t="s">
        <v>40</v>
      </c>
      <c r="C23" s="30">
        <v>54500.566330000001</v>
      </c>
      <c r="D23" s="30">
        <v>1E-4</v>
      </c>
      <c r="E23" s="33">
        <f>+(C23-C$7)/C$8</f>
        <v>5974.1530914267041</v>
      </c>
      <c r="F23">
        <f>ROUND(2*E23,0)/2</f>
        <v>5974</v>
      </c>
      <c r="G23">
        <f>+C23-(C$7+F23*C$8)</f>
        <v>5.420600000070408E-2</v>
      </c>
      <c r="K23">
        <f>+G23</f>
        <v>5.420600000070408E-2</v>
      </c>
      <c r="O23">
        <f ca="1">+C$11+C$12*$F23</f>
        <v>5.2842436121070403E-2</v>
      </c>
      <c r="Q23" s="2">
        <f>+C23-15018.5</f>
        <v>39482.066330000001</v>
      </c>
    </row>
    <row r="24" spans="1:17" x14ac:dyDescent="0.2">
      <c r="A24" s="30" t="s">
        <v>39</v>
      </c>
      <c r="B24" s="31" t="s">
        <v>40</v>
      </c>
      <c r="C24" s="30">
        <v>54852.879399999998</v>
      </c>
      <c r="D24" s="30">
        <v>4.0000000000000002E-4</v>
      </c>
      <c r="E24" s="33">
        <f>+(C24-C$7)/C$8</f>
        <v>6969.1741321072259</v>
      </c>
      <c r="F24">
        <f>ROUND(2*E24,0)/2</f>
        <v>6969</v>
      </c>
      <c r="G24">
        <f>+C24-(C$7+F24*C$8)</f>
        <v>6.1655999998038169E-2</v>
      </c>
      <c r="K24">
        <f>+G24</f>
        <v>6.1655999998038169E-2</v>
      </c>
      <c r="O24">
        <f ca="1">+C$11+C$12*$F24</f>
        <v>6.2272613107957953E-2</v>
      </c>
      <c r="Q24" s="2">
        <f>+C24-15018.5</f>
        <v>39834.379399999998</v>
      </c>
    </row>
    <row r="25" spans="1:17" x14ac:dyDescent="0.2">
      <c r="A25" s="34" t="s">
        <v>46</v>
      </c>
      <c r="B25" s="35" t="s">
        <v>40</v>
      </c>
      <c r="C25" s="34">
        <v>55245.914299999997</v>
      </c>
      <c r="D25" s="34">
        <v>2.9999999999999997E-4</v>
      </c>
      <c r="E25" s="33">
        <f>+(C25-C$7)/C$8</f>
        <v>8079.2038997277332</v>
      </c>
      <c r="F25">
        <f>ROUND(2*E25,0)/2</f>
        <v>8079</v>
      </c>
      <c r="G25">
        <f>+C25-(C$7+F25*C$8)</f>
        <v>7.2195999993709847E-2</v>
      </c>
      <c r="K25">
        <f>+G25</f>
        <v>7.2195999993709847E-2</v>
      </c>
      <c r="O25">
        <f ca="1">+C$11+C$12*$F25</f>
        <v>7.2792710048103879E-2</v>
      </c>
      <c r="Q25" s="2">
        <f>+C25-15018.5</f>
        <v>40227.414299999997</v>
      </c>
    </row>
    <row r="26" spans="1:17" x14ac:dyDescent="0.2">
      <c r="A26" s="39" t="s">
        <v>49</v>
      </c>
      <c r="B26" s="31" t="s">
        <v>40</v>
      </c>
      <c r="C26" s="30">
        <v>55265.39084</v>
      </c>
      <c r="D26" s="30">
        <v>1E-4</v>
      </c>
      <c r="E26" s="33">
        <f>+(C26-C$7)/C$8</f>
        <v>8134.2105649634541</v>
      </c>
      <c r="F26">
        <f>ROUND(2*E26,0)/2</f>
        <v>8134</v>
      </c>
      <c r="G26">
        <f>+C26-(C$7+F26*C$8)</f>
        <v>7.4555999999574851E-2</v>
      </c>
      <c r="K26">
        <f>+G26</f>
        <v>7.4555999999574851E-2</v>
      </c>
      <c r="O26">
        <f ca="1">+C$11+C$12*$F26</f>
        <v>7.3313976112705695E-2</v>
      </c>
      <c r="Q26" s="2">
        <f>+C26-15018.5</f>
        <v>40246.89084</v>
      </c>
    </row>
    <row r="27" spans="1:17" x14ac:dyDescent="0.2">
      <c r="A27" s="34" t="s">
        <v>52</v>
      </c>
      <c r="B27" s="35" t="s">
        <v>40</v>
      </c>
      <c r="C27" s="34">
        <v>55289.469400000002</v>
      </c>
      <c r="D27" s="34">
        <v>8.9999999999999998E-4</v>
      </c>
      <c r="E27" s="33">
        <f>+(C27-C$7)/C$8</f>
        <v>8202.2144963228293</v>
      </c>
      <c r="F27">
        <f>ROUND(2*E27,0)/2</f>
        <v>8202</v>
      </c>
      <c r="G27">
        <f>+C27-(C$7+F27*C$8)</f>
        <v>7.5948000005155336E-2</v>
      </c>
      <c r="J27">
        <f>+G27</f>
        <v>7.5948000005155336E-2</v>
      </c>
      <c r="O27">
        <f ca="1">+C$11+C$12*$F27</f>
        <v>7.3958450519849769E-2</v>
      </c>
      <c r="Q27" s="2">
        <f>+C27-15018.5</f>
        <v>40270.969400000002</v>
      </c>
    </row>
    <row r="28" spans="1:17" x14ac:dyDescent="0.2">
      <c r="A28" s="34" t="s">
        <v>53</v>
      </c>
      <c r="B28" s="35" t="s">
        <v>42</v>
      </c>
      <c r="C28" s="34">
        <v>55625.318099999997</v>
      </c>
      <c r="D28" s="34">
        <v>4.0000000000000002E-4</v>
      </c>
      <c r="E28" s="33">
        <f>+(C28-C$7)/C$8</f>
        <v>9150.7360001807428</v>
      </c>
      <c r="F28">
        <f>ROUND(2*E28,0)/2</f>
        <v>9150.5</v>
      </c>
      <c r="G28">
        <f>+C28-(C$7+F28*C$8)</f>
        <v>8.3561999999801628E-2</v>
      </c>
      <c r="J28">
        <f>+G28</f>
        <v>8.3561999999801628E-2</v>
      </c>
      <c r="O28">
        <f ca="1">+C$11+C$12*$F28</f>
        <v>8.2947920743028508E-2</v>
      </c>
      <c r="Q28" s="2">
        <f>+C28-15018.5</f>
        <v>40606.818099999997</v>
      </c>
    </row>
    <row r="29" spans="1:17" x14ac:dyDescent="0.2">
      <c r="A29" s="34" t="s">
        <v>53</v>
      </c>
      <c r="B29" s="35" t="s">
        <v>40</v>
      </c>
      <c r="C29" s="34">
        <v>55625.4951</v>
      </c>
      <c r="D29" s="34">
        <v>1.1999999999999999E-3</v>
      </c>
      <c r="E29" s="33">
        <f>+(C29-C$7)/C$8</f>
        <v>9151.2358928591602</v>
      </c>
      <c r="F29">
        <f>ROUND(2*E29,0)/2</f>
        <v>9151</v>
      </c>
      <c r="G29">
        <f>+C29-(C$7+F29*C$8)</f>
        <v>8.3524000001489185E-2</v>
      </c>
      <c r="J29">
        <f>+G29</f>
        <v>8.3524000001489185E-2</v>
      </c>
      <c r="O29">
        <f ca="1">+C$11+C$12*$F29</f>
        <v>8.2952659525433986E-2</v>
      </c>
      <c r="Q29" s="2">
        <f>+C29-15018.5</f>
        <v>40606.9951</v>
      </c>
    </row>
    <row r="30" spans="1:17" x14ac:dyDescent="0.2">
      <c r="A30" s="55" t="s">
        <v>54</v>
      </c>
      <c r="B30" s="56"/>
      <c r="C30" s="57">
        <v>55984.715700000001</v>
      </c>
      <c r="D30" s="57">
        <v>1E-4</v>
      </c>
      <c r="E30" s="40">
        <f>+(C30-C$7)/C$8-0.5</f>
        <v>10165.265541861072</v>
      </c>
      <c r="F30">
        <f>ROUND(2*E30,0)/2</f>
        <v>10165.5</v>
      </c>
      <c r="G30">
        <f>+C30-(C$7+F30*C$8)</f>
        <v>9.4021999997494277E-2</v>
      </c>
      <c r="K30">
        <f>+G30</f>
        <v>9.4021999997494277E-2</v>
      </c>
      <c r="O30">
        <f ca="1">+C$11+C$12*$F30</f>
        <v>9.2567649026134916E-2</v>
      </c>
      <c r="Q30" s="2">
        <f>+C30-15018.5</f>
        <v>40966.215700000001</v>
      </c>
    </row>
    <row r="31" spans="1:17" x14ac:dyDescent="0.2">
      <c r="A31" s="58" t="s">
        <v>117</v>
      </c>
      <c r="B31" s="59" t="s">
        <v>40</v>
      </c>
      <c r="C31" s="60">
        <v>57041.489670000003</v>
      </c>
      <c r="D31" s="60">
        <v>2.0000000000000001E-4</v>
      </c>
      <c r="E31" s="33">
        <f>+(C31-C$7)/C$8</f>
        <v>13150.361984432728</v>
      </c>
      <c r="F31" s="41">
        <f>ROUND(2*E31,0)/2-0.5</f>
        <v>13150</v>
      </c>
      <c r="G31">
        <f>+C31-(C$7+F31*C$8)</f>
        <v>0.12817000000359258</v>
      </c>
      <c r="K31">
        <f>+G31</f>
        <v>0.12817000000359258</v>
      </c>
      <c r="O31">
        <f ca="1">+C$11+C$12*$F31</f>
        <v>0.12085344120439211</v>
      </c>
      <c r="Q31" s="2">
        <f>+C31-15018.5</f>
        <v>42022.989670000003</v>
      </c>
    </row>
    <row r="32" spans="1:17" x14ac:dyDescent="0.2">
      <c r="A32" s="58" t="s">
        <v>117</v>
      </c>
      <c r="B32" s="59" t="s">
        <v>40</v>
      </c>
      <c r="C32" s="60">
        <v>57070.520389999998</v>
      </c>
      <c r="D32" s="60">
        <v>4.0000000000000002E-4</v>
      </c>
      <c r="E32" s="33">
        <f>+(C32-C$7)/C$8</f>
        <v>13232.352065658215</v>
      </c>
      <c r="F32" s="41">
        <f>ROUND(2*E32,0)/2-0.5</f>
        <v>13232</v>
      </c>
      <c r="G32">
        <f>+C32-(C$7+F32*C$8)</f>
        <v>0.12465800000063609</v>
      </c>
      <c r="K32">
        <f>+G32</f>
        <v>0.12465800000063609</v>
      </c>
      <c r="O32">
        <f ca="1">+C$11+C$12*$F32</f>
        <v>0.12163060151888937</v>
      </c>
      <c r="Q32" s="2">
        <f>+C32-15018.5</f>
        <v>42052.020389999998</v>
      </c>
    </row>
    <row r="33" spans="1:18" x14ac:dyDescent="0.2">
      <c r="A33" s="63" t="s">
        <v>118</v>
      </c>
      <c r="B33" s="64" t="s">
        <v>40</v>
      </c>
      <c r="C33" s="65">
        <v>57073.7071</v>
      </c>
      <c r="D33" s="65">
        <v>2.0000000000000001E-4</v>
      </c>
      <c r="E33" s="33">
        <f>+(C33-C$7)/C$8</f>
        <v>13241.352139088782</v>
      </c>
      <c r="F33" s="41">
        <f>ROUND(2*E33,0)/2-0.5</f>
        <v>13241</v>
      </c>
      <c r="G33">
        <f>+C33-(C$7+F33*C$8)</f>
        <v>0.12468400000216207</v>
      </c>
      <c r="K33">
        <f>+G33</f>
        <v>0.12468400000216207</v>
      </c>
      <c r="O33">
        <f ca="1">+C$11+C$12*$F33</f>
        <v>0.12171589960218786</v>
      </c>
      <c r="Q33" s="2">
        <f>+C33-15018.5</f>
        <v>42055.2071</v>
      </c>
    </row>
    <row r="34" spans="1:18" x14ac:dyDescent="0.2">
      <c r="A34" s="61" t="s">
        <v>55</v>
      </c>
      <c r="B34" s="62"/>
      <c r="C34" s="61">
        <v>57074.415699999998</v>
      </c>
      <c r="D34" s="61">
        <v>6.9999999999999999E-4</v>
      </c>
      <c r="E34" s="33">
        <f>+(C34-C$7)/C$8</f>
        <v>13243.353404353862</v>
      </c>
      <c r="F34" s="41">
        <f>ROUND(2*E34,0)/2-0.5</f>
        <v>13243</v>
      </c>
      <c r="G34">
        <f>+C34-(C$7+F34*C$8)</f>
        <v>0.12513200000103097</v>
      </c>
      <c r="J34">
        <f>+G34</f>
        <v>0.12513200000103097</v>
      </c>
      <c r="O34">
        <f ca="1">+C$11+C$12*$F34</f>
        <v>0.12173485473180974</v>
      </c>
      <c r="Q34" s="2">
        <f>+C34-15018.5</f>
        <v>42055.915699999998</v>
      </c>
    </row>
    <row r="35" spans="1:18" x14ac:dyDescent="0.2">
      <c r="A35" s="61" t="s">
        <v>55</v>
      </c>
      <c r="B35" s="62"/>
      <c r="C35" s="61">
        <v>57074.593099999998</v>
      </c>
      <c r="D35" s="61">
        <v>8.0000000000000004E-4</v>
      </c>
      <c r="E35" s="33">
        <f>+(C35-C$7)/C$8</f>
        <v>13243.854426733238</v>
      </c>
      <c r="F35" s="41">
        <f>ROUND(2*E35,0)/2-0.5</f>
        <v>13243.5</v>
      </c>
      <c r="G35">
        <f>+C35-(C$7+F35*C$8)</f>
        <v>0.12549399999988964</v>
      </c>
      <c r="J35">
        <f>+G35</f>
        <v>0.12549399999988964</v>
      </c>
      <c r="O35">
        <f ca="1">+C$11+C$12*$F35</f>
        <v>0.12173959351421522</v>
      </c>
      <c r="Q35" s="2">
        <f>+C35-15018.5</f>
        <v>42056.093099999998</v>
      </c>
    </row>
    <row r="36" spans="1:18" x14ac:dyDescent="0.2">
      <c r="A36" s="66" t="s">
        <v>119</v>
      </c>
      <c r="B36" s="67" t="s">
        <v>42</v>
      </c>
      <c r="C36" s="68">
        <v>57771.079700000002</v>
      </c>
      <c r="D36" s="69" t="s">
        <v>65</v>
      </c>
      <c r="E36" s="33">
        <f>+(C36-C$7)/C$8</f>
        <v>15210.908392548499</v>
      </c>
      <c r="F36" s="41">
        <f>ROUND(2*E36,0)/2-0.5</f>
        <v>15210.5</v>
      </c>
      <c r="G36">
        <f>+C36-(C$7+F36*C$8)</f>
        <v>0.14460200000030454</v>
      </c>
      <c r="K36">
        <f>+G36</f>
        <v>0.14460200000030454</v>
      </c>
      <c r="O36">
        <f ca="1">+C$11+C$12*$F36</f>
        <v>0.14038196349733867</v>
      </c>
      <c r="Q36" s="2">
        <f>+C36-15018.5</f>
        <v>42752.579700000002</v>
      </c>
    </row>
    <row r="37" spans="1:18" x14ac:dyDescent="0.2">
      <c r="A37" s="70" t="s">
        <v>120</v>
      </c>
      <c r="B37" s="37" t="s">
        <v>40</v>
      </c>
      <c r="C37" s="38">
        <v>57881.727700000003</v>
      </c>
      <c r="D37" s="38">
        <v>2.9999999999999997E-4</v>
      </c>
      <c r="E37" s="33">
        <f>+(C37-C$7)/C$8</f>
        <v>15523.406274359186</v>
      </c>
      <c r="F37" s="74">
        <f>ROUND(2*E37,0)/2-0.5</f>
        <v>15523</v>
      </c>
      <c r="G37">
        <f>+C37-(C$7+F37*C$8)</f>
        <v>0.14385200000106124</v>
      </c>
      <c r="K37">
        <f>+G37</f>
        <v>0.14385200000106124</v>
      </c>
      <c r="O37">
        <f ca="1">+C$11+C$12*$F37</f>
        <v>0.14334370250075812</v>
      </c>
      <c r="Q37" s="2">
        <f>+C37-15018.5</f>
        <v>42863.227700000003</v>
      </c>
    </row>
    <row r="38" spans="1:18" x14ac:dyDescent="0.2">
      <c r="A38" s="66" t="s">
        <v>119</v>
      </c>
      <c r="B38" s="67" t="s">
        <v>42</v>
      </c>
      <c r="C38" s="68">
        <v>58086.2143</v>
      </c>
      <c r="D38" s="69" t="s">
        <v>65</v>
      </c>
      <c r="E38" s="33">
        <f>+(C38-C$7)/C$8</f>
        <v>16100.928049345337</v>
      </c>
      <c r="F38" s="41">
        <f>ROUND(2*E38,0)/2-0.5</f>
        <v>16100.5</v>
      </c>
      <c r="G38">
        <f>+C38-(C$7+F38*C$8)</f>
        <v>0.15156199999910314</v>
      </c>
      <c r="K38">
        <f>+G38</f>
        <v>0.15156199999910314</v>
      </c>
      <c r="O38">
        <f ca="1">+C$11+C$12*$F38</f>
        <v>0.14881699617907729</v>
      </c>
      <c r="Q38" s="2">
        <f>+C38-15018.5</f>
        <v>43067.7143</v>
      </c>
    </row>
    <row r="39" spans="1:18" ht="12" customHeight="1" x14ac:dyDescent="0.2">
      <c r="A39" s="78" t="s">
        <v>123</v>
      </c>
      <c r="B39" s="79" t="s">
        <v>40</v>
      </c>
      <c r="C39" s="80">
        <v>58198.630100000002</v>
      </c>
      <c r="D39" s="78">
        <v>1E-4</v>
      </c>
      <c r="E39" s="33">
        <f>+(C39-C$7)/C$8</f>
        <v>16418.418644584784</v>
      </c>
      <c r="F39" s="74">
        <f>ROUND(2*E39,0)/2-0.5</f>
        <v>16418</v>
      </c>
      <c r="G39">
        <f>+C39-(C$7+F39*C$8)</f>
        <v>0.1482319999995525</v>
      </c>
      <c r="K39">
        <f>+G39</f>
        <v>0.1482319999995525</v>
      </c>
      <c r="O39">
        <f ca="1">+C$11+C$12*$F39</f>
        <v>0.15182612300655141</v>
      </c>
      <c r="Q39" s="2">
        <f>+C39-15018.5</f>
        <v>43180.130100000002</v>
      </c>
      <c r="R39" t="s">
        <v>65</v>
      </c>
    </row>
    <row r="40" spans="1:18" ht="12" customHeight="1" x14ac:dyDescent="0.2">
      <c r="A40" s="78" t="s">
        <v>123</v>
      </c>
      <c r="B40" s="79" t="s">
        <v>40</v>
      </c>
      <c r="C40" s="80">
        <v>58198.630599999997</v>
      </c>
      <c r="D40" s="78">
        <v>4.0000000000000002E-4</v>
      </c>
      <c r="E40" s="33">
        <f>+(C40-C$7)/C$8</f>
        <v>16418.42005671098</v>
      </c>
      <c r="F40" s="74">
        <f>ROUND(2*E40,0)/2-0.5</f>
        <v>16418</v>
      </c>
      <c r="G40">
        <f>+C40-(C$7+F40*C$8)</f>
        <v>0.14873199999419739</v>
      </c>
      <c r="K40">
        <f>+G40</f>
        <v>0.14873199999419739</v>
      </c>
      <c r="O40">
        <f ca="1">+C$11+C$12*$F40</f>
        <v>0.15182612300655141</v>
      </c>
      <c r="Q40" s="2">
        <f>+C40-15018.5</f>
        <v>43180.130599999997</v>
      </c>
      <c r="R40" t="s">
        <v>124</v>
      </c>
    </row>
    <row r="41" spans="1:18" ht="12" customHeight="1" x14ac:dyDescent="0.2">
      <c r="A41" s="78" t="s">
        <v>123</v>
      </c>
      <c r="B41" s="79" t="s">
        <v>40</v>
      </c>
      <c r="C41" s="80">
        <v>58198.631300000001</v>
      </c>
      <c r="D41" s="78">
        <v>5.0000000000000001E-4</v>
      </c>
      <c r="E41" s="33">
        <f>+(C41-C$7)/C$8</f>
        <v>16418.422033687686</v>
      </c>
      <c r="F41" s="74">
        <f>ROUND(2*E41,0)/2-0.5</f>
        <v>16418</v>
      </c>
      <c r="G41">
        <f>+C41-(C$7+F41*C$8)</f>
        <v>0.14943199999834178</v>
      </c>
      <c r="K41">
        <f>+G41</f>
        <v>0.14943199999834178</v>
      </c>
      <c r="O41">
        <f ca="1">+C$11+C$12*$F41</f>
        <v>0.15182612300655141</v>
      </c>
      <c r="Q41" s="2">
        <f>+C41-15018.5</f>
        <v>43180.131300000001</v>
      </c>
      <c r="R41" t="s">
        <v>40</v>
      </c>
    </row>
    <row r="42" spans="1:18" ht="12" customHeight="1" x14ac:dyDescent="0.2">
      <c r="A42" s="78" t="s">
        <v>123</v>
      </c>
      <c r="B42" s="79" t="s">
        <v>40</v>
      </c>
      <c r="C42" s="80">
        <v>58211.732300000003</v>
      </c>
      <c r="D42" s="78">
        <v>2.0000000000000001E-4</v>
      </c>
      <c r="E42" s="33">
        <f>+(C42-C$7)/C$8</f>
        <v>16455.422564647146</v>
      </c>
      <c r="F42" s="74">
        <f>ROUND(2*E42,0)/2-0.5</f>
        <v>16455</v>
      </c>
      <c r="G42">
        <f>+C42-(C$7+F42*C$8)</f>
        <v>0.14962000000377884</v>
      </c>
      <c r="K42">
        <f>+G42</f>
        <v>0.14962000000377884</v>
      </c>
      <c r="O42">
        <f ca="1">+C$11+C$12*$F42</f>
        <v>0.15217679290455632</v>
      </c>
      <c r="Q42" s="2">
        <f>+C42-15018.5</f>
        <v>43193.232300000003</v>
      </c>
      <c r="R42" t="s">
        <v>65</v>
      </c>
    </row>
    <row r="43" spans="1:18" ht="12" customHeight="1" x14ac:dyDescent="0.2">
      <c r="A43" s="78" t="s">
        <v>123</v>
      </c>
      <c r="B43" s="79" t="s">
        <v>40</v>
      </c>
      <c r="C43" s="80">
        <v>58211.732400000001</v>
      </c>
      <c r="D43" s="78">
        <v>4.0000000000000002E-4</v>
      </c>
      <c r="E43" s="33">
        <f>+(C43-C$7)/C$8</f>
        <v>16455.422847072383</v>
      </c>
      <c r="F43" s="74">
        <f>ROUND(2*E43,0)/2-0.5</f>
        <v>16455</v>
      </c>
      <c r="G43">
        <f>+C43-(C$7+F43*C$8)</f>
        <v>0.14972000000125263</v>
      </c>
      <c r="K43">
        <f>+G43</f>
        <v>0.14972000000125263</v>
      </c>
      <c r="O43">
        <f ca="1">+C$11+C$12*$F43</f>
        <v>0.15217679290455632</v>
      </c>
      <c r="Q43" s="2">
        <f>+C43-15018.5</f>
        <v>43193.232400000001</v>
      </c>
      <c r="R43" t="s">
        <v>124</v>
      </c>
    </row>
    <row r="44" spans="1:18" ht="12" customHeight="1" x14ac:dyDescent="0.2">
      <c r="A44" s="78" t="s">
        <v>123</v>
      </c>
      <c r="B44" s="79" t="s">
        <v>40</v>
      </c>
      <c r="C44" s="80">
        <v>58211.732600000003</v>
      </c>
      <c r="D44" s="78">
        <v>2.9999999999999997E-4</v>
      </c>
      <c r="E44" s="33">
        <f>+(C44-C$7)/C$8</f>
        <v>16455.423411922871</v>
      </c>
      <c r="F44" s="74">
        <f>ROUND(2*E44,0)/2-0.5</f>
        <v>16455</v>
      </c>
      <c r="G44">
        <f>+C44-(C$7+F44*C$8)</f>
        <v>0.14992000000347616</v>
      </c>
      <c r="K44">
        <f>+G44</f>
        <v>0.14992000000347616</v>
      </c>
      <c r="O44">
        <f ca="1">+C$11+C$12*$F44</f>
        <v>0.15217679290455632</v>
      </c>
      <c r="Q44" s="2">
        <f>+C44-15018.5</f>
        <v>43193.232600000003</v>
      </c>
      <c r="R44" t="s">
        <v>40</v>
      </c>
    </row>
    <row r="45" spans="1:18" ht="12" customHeight="1" x14ac:dyDescent="0.2">
      <c r="A45" s="78" t="s">
        <v>123</v>
      </c>
      <c r="B45" s="79" t="s">
        <v>40</v>
      </c>
      <c r="C45" s="80">
        <v>58213.679799999998</v>
      </c>
      <c r="D45" s="78">
        <v>5.0000000000000001E-4</v>
      </c>
      <c r="E45" s="33">
        <f>+(C45-C$7)/C$8</f>
        <v>16460.922796235831</v>
      </c>
      <c r="F45" s="74">
        <f>ROUND(2*E45,0)/2-0.5</f>
        <v>16460.5</v>
      </c>
      <c r="G45">
        <f>+C45-(C$7+F45*C$8)</f>
        <v>0.14970199999515899</v>
      </c>
      <c r="K45">
        <f>+G45</f>
        <v>0.14970199999515899</v>
      </c>
      <c r="O45">
        <f ca="1">+C$11+C$12*$F45</f>
        <v>0.15222891951101647</v>
      </c>
      <c r="Q45" s="2">
        <f>+C45-15018.5</f>
        <v>43195.179799999998</v>
      </c>
      <c r="R45" t="s">
        <v>124</v>
      </c>
    </row>
    <row r="46" spans="1:18" ht="12" customHeight="1" x14ac:dyDescent="0.2">
      <c r="A46" s="78" t="s">
        <v>123</v>
      </c>
      <c r="B46" s="79" t="s">
        <v>40</v>
      </c>
      <c r="C46" s="80">
        <v>58213.679799999998</v>
      </c>
      <c r="D46" s="78">
        <v>2.0000000000000001E-4</v>
      </c>
      <c r="E46" s="33">
        <f>+(C46-C$7)/C$8</f>
        <v>16460.922796235831</v>
      </c>
      <c r="F46" s="74">
        <f>ROUND(2*E46,0)/2-0.5</f>
        <v>16460.5</v>
      </c>
      <c r="G46">
        <f>+C46-(C$7+F46*C$8)</f>
        <v>0.14970199999515899</v>
      </c>
      <c r="K46">
        <f>+G46</f>
        <v>0.14970199999515899</v>
      </c>
      <c r="O46">
        <f ca="1">+C$11+C$12*$F46</f>
        <v>0.15222891951101647</v>
      </c>
      <c r="Q46" s="2">
        <f>+C46-15018.5</f>
        <v>43195.179799999998</v>
      </c>
      <c r="R46" t="s">
        <v>40</v>
      </c>
    </row>
    <row r="47" spans="1:18" ht="12" customHeight="1" x14ac:dyDescent="0.2">
      <c r="A47" s="78" t="s">
        <v>123</v>
      </c>
      <c r="B47" s="79" t="s">
        <v>40</v>
      </c>
      <c r="C47" s="80">
        <v>58213.680099999998</v>
      </c>
      <c r="D47" s="78">
        <v>1E-4</v>
      </c>
      <c r="E47" s="33">
        <f>+(C47-C$7)/C$8</f>
        <v>16460.923643511556</v>
      </c>
      <c r="F47" s="74">
        <f>ROUND(2*E47,0)/2-0.5</f>
        <v>16460.5</v>
      </c>
      <c r="G47">
        <f>+C47-(C$7+F47*C$8)</f>
        <v>0.15000199999485631</v>
      </c>
      <c r="K47">
        <f>+G47</f>
        <v>0.15000199999485631</v>
      </c>
      <c r="O47">
        <f ca="1">+C$11+C$12*$F47</f>
        <v>0.15222891951101647</v>
      </c>
      <c r="Q47" s="2">
        <f>+C47-15018.5</f>
        <v>43195.180099999998</v>
      </c>
      <c r="R47" t="s">
        <v>65</v>
      </c>
    </row>
    <row r="48" spans="1:18" ht="12" customHeight="1" x14ac:dyDescent="0.2">
      <c r="A48" s="78" t="s">
        <v>123</v>
      </c>
      <c r="B48" s="79" t="s">
        <v>40</v>
      </c>
      <c r="C48" s="80">
        <v>58217.751900000003</v>
      </c>
      <c r="D48" s="78">
        <v>5.9999999999999995E-4</v>
      </c>
      <c r="E48" s="33">
        <f>+(C48-C$7)/C$8</f>
        <v>16472.423434516892</v>
      </c>
      <c r="F48" s="74">
        <f>ROUND(2*E48,0)/2-0.5</f>
        <v>16472</v>
      </c>
      <c r="G48">
        <f>+C48-(C$7+F48*C$8)</f>
        <v>0.14992799999890849</v>
      </c>
      <c r="K48">
        <f>+G48</f>
        <v>0.14992799999890849</v>
      </c>
      <c r="O48">
        <f ca="1">+C$11+C$12*$F48</f>
        <v>0.15233791150634229</v>
      </c>
      <c r="Q48" s="2">
        <f>+C48-15018.5</f>
        <v>43199.251900000003</v>
      </c>
      <c r="R48" t="s">
        <v>40</v>
      </c>
    </row>
    <row r="49" spans="1:18" ht="12" customHeight="1" x14ac:dyDescent="0.2">
      <c r="A49" s="78" t="s">
        <v>123</v>
      </c>
      <c r="B49" s="79" t="s">
        <v>40</v>
      </c>
      <c r="C49" s="80">
        <v>58217.752500000002</v>
      </c>
      <c r="D49" s="78">
        <v>2.9999999999999997E-4</v>
      </c>
      <c r="E49" s="33">
        <f>+(C49-C$7)/C$8</f>
        <v>16472.425129068342</v>
      </c>
      <c r="F49" s="74">
        <f>ROUND(2*E49,0)/2-0.5</f>
        <v>16472</v>
      </c>
      <c r="G49">
        <f>+C49-(C$7+F49*C$8)</f>
        <v>0.15052799999830313</v>
      </c>
      <c r="K49">
        <f>+G49</f>
        <v>0.15052799999830313</v>
      </c>
      <c r="O49">
        <f ca="1">+C$11+C$12*$F49</f>
        <v>0.15233791150634229</v>
      </c>
      <c r="Q49" s="2">
        <f>+C49-15018.5</f>
        <v>43199.252500000002</v>
      </c>
      <c r="R49" t="s">
        <v>65</v>
      </c>
    </row>
    <row r="50" spans="1:18" ht="12" customHeight="1" x14ac:dyDescent="0.2">
      <c r="A50" s="78" t="s">
        <v>123</v>
      </c>
      <c r="B50" s="79" t="s">
        <v>40</v>
      </c>
      <c r="C50" s="80">
        <v>58217.752800000002</v>
      </c>
      <c r="D50" s="78">
        <v>4.0000000000000002E-4</v>
      </c>
      <c r="E50" s="33">
        <f>+(C50-C$7)/C$8</f>
        <v>16472.425976344068</v>
      </c>
      <c r="F50" s="74">
        <f>ROUND(2*E50,0)/2-0.5</f>
        <v>16472</v>
      </c>
      <c r="G50">
        <f>+C50-(C$7+F50*C$8)</f>
        <v>0.15082799999800045</v>
      </c>
      <c r="K50">
        <f>+G50</f>
        <v>0.15082799999800045</v>
      </c>
      <c r="O50">
        <f ca="1">+C$11+C$12*$F50</f>
        <v>0.15233791150634229</v>
      </c>
      <c r="Q50" s="2">
        <f>+C50-15018.5</f>
        <v>43199.252800000002</v>
      </c>
      <c r="R50" t="s">
        <v>124</v>
      </c>
    </row>
    <row r="51" spans="1:18" ht="12" customHeight="1" x14ac:dyDescent="0.2">
      <c r="A51" s="78" t="s">
        <v>123</v>
      </c>
      <c r="B51" s="79" t="s">
        <v>40</v>
      </c>
      <c r="C51" s="80">
        <v>58219.701099999998</v>
      </c>
      <c r="D51" s="78">
        <v>4.0000000000000002E-4</v>
      </c>
      <c r="E51" s="33">
        <f>+(C51-C$7)/C$8</f>
        <v>16477.928467334692</v>
      </c>
      <c r="F51" s="74">
        <f>ROUND(2*E51,0)/2-0.5</f>
        <v>16477.5</v>
      </c>
      <c r="G51">
        <f>+C51-(C$7+F51*C$8)</f>
        <v>0.15170999999827472</v>
      </c>
      <c r="K51">
        <f>+G51</f>
        <v>0.15170999999827472</v>
      </c>
      <c r="O51">
        <f ca="1">+C$11+C$12*$F51</f>
        <v>0.1523900381128025</v>
      </c>
      <c r="Q51" s="2">
        <f>+C51-15018.5</f>
        <v>43201.201099999998</v>
      </c>
      <c r="R51" t="s">
        <v>40</v>
      </c>
    </row>
    <row r="52" spans="1:18" ht="12" customHeight="1" x14ac:dyDescent="0.2">
      <c r="A52" s="78" t="s">
        <v>123</v>
      </c>
      <c r="B52" s="79" t="s">
        <v>40</v>
      </c>
      <c r="C52" s="80">
        <v>58219.701999999997</v>
      </c>
      <c r="D52" s="78">
        <v>2.9999999999999997E-4</v>
      </c>
      <c r="E52" s="33">
        <f>+(C52-C$7)/C$8</f>
        <v>16477.931009161868</v>
      </c>
      <c r="F52" s="74">
        <f>ROUND(2*E52,0)/2-0.5</f>
        <v>16477.5</v>
      </c>
      <c r="G52">
        <f>+C52-(C$7+F52*C$8)</f>
        <v>0.15260999999736669</v>
      </c>
      <c r="K52">
        <f>+G52</f>
        <v>0.15260999999736669</v>
      </c>
      <c r="O52">
        <f ca="1">+C$11+C$12*$F52</f>
        <v>0.1523900381128025</v>
      </c>
      <c r="Q52" s="2">
        <f>+C52-15018.5</f>
        <v>43201.201999999997</v>
      </c>
      <c r="R52" t="s">
        <v>65</v>
      </c>
    </row>
    <row r="53" spans="1:18" ht="12" customHeight="1" x14ac:dyDescent="0.2">
      <c r="A53" s="78" t="s">
        <v>123</v>
      </c>
      <c r="B53" s="79" t="s">
        <v>40</v>
      </c>
      <c r="C53" s="80">
        <v>58219.702100000002</v>
      </c>
      <c r="D53" s="78">
        <v>5.9999999999999995E-4</v>
      </c>
      <c r="E53" s="33">
        <f>+(C53-C$7)/C$8</f>
        <v>16477.931291587123</v>
      </c>
      <c r="F53" s="74">
        <f>ROUND(2*E53,0)/2-0.5</f>
        <v>16477.5</v>
      </c>
      <c r="G53">
        <f>+C53-(C$7+F53*C$8)</f>
        <v>0.15271000000211643</v>
      </c>
      <c r="K53">
        <f>+G53</f>
        <v>0.15271000000211643</v>
      </c>
      <c r="O53">
        <f ca="1">+C$11+C$12*$F53</f>
        <v>0.1523900381128025</v>
      </c>
      <c r="Q53" s="2">
        <f>+C53-15018.5</f>
        <v>43201.202100000002</v>
      </c>
      <c r="R53" t="s">
        <v>124</v>
      </c>
    </row>
    <row r="54" spans="1:18" ht="12" customHeight="1" x14ac:dyDescent="0.2">
      <c r="A54" s="71" t="s">
        <v>121</v>
      </c>
      <c r="B54" s="72" t="s">
        <v>40</v>
      </c>
      <c r="C54" s="73">
        <v>58892.9931</v>
      </c>
      <c r="D54" s="73" t="s">
        <v>65</v>
      </c>
      <c r="E54" s="33">
        <f>+(C54-C$7)/C$8</f>
        <v>18379.475027960099</v>
      </c>
      <c r="F54" s="74">
        <f>ROUND(2*E54,0)/2-0.5</f>
        <v>18379</v>
      </c>
      <c r="G54">
        <f>+C54-(C$7+F54*C$8)</f>
        <v>0.16819599999871571</v>
      </c>
      <c r="K54">
        <f>+G54</f>
        <v>0.16819599999871571</v>
      </c>
      <c r="O54">
        <f ca="1">+C$11+C$12*$F54</f>
        <v>0.17041162760080919</v>
      </c>
      <c r="Q54" s="2">
        <f>+C54-15018.5</f>
        <v>43874.4931</v>
      </c>
    </row>
    <row r="55" spans="1:18" ht="12" customHeight="1" x14ac:dyDescent="0.2">
      <c r="A55" s="77" t="s">
        <v>122</v>
      </c>
      <c r="C55" s="75">
        <v>59344.631999999998</v>
      </c>
      <c r="D55" s="76">
        <v>2E-3</v>
      </c>
      <c r="E55" s="33">
        <f>+(C55-C$7)/C$8</f>
        <v>19655.017284424808</v>
      </c>
      <c r="F55" s="74">
        <f>ROUND(2*E55,0)/2-0.5</f>
        <v>19654.5</v>
      </c>
      <c r="G55">
        <f>+C55-(C$7+F55*C$8)</f>
        <v>0.18315799999982119</v>
      </c>
      <c r="K55">
        <f>+G55</f>
        <v>0.18315799999982119</v>
      </c>
      <c r="O55">
        <f ca="1">+C$11+C$12*$F55</f>
        <v>0.18250026151716608</v>
      </c>
      <c r="Q55" s="2">
        <f>+C55-15018.5</f>
        <v>44326.131999999998</v>
      </c>
    </row>
    <row r="56" spans="1:18" ht="12" customHeight="1" x14ac:dyDescent="0.2">
      <c r="A56" s="78" t="s">
        <v>123</v>
      </c>
      <c r="B56" s="79" t="s">
        <v>40</v>
      </c>
      <c r="C56" s="80">
        <v>59710.402699999999</v>
      </c>
      <c r="D56" s="78">
        <v>1E-4</v>
      </c>
      <c r="E56" s="33">
        <f>+(C56-C$7)/C$8</f>
        <v>20688.046069205477</v>
      </c>
      <c r="F56" s="74">
        <f>ROUND(2*E56,0)/2-0.5</f>
        <v>20687.5</v>
      </c>
      <c r="G56">
        <f>+C56-(C$7+F56*C$8)</f>
        <v>0.1933500000013737</v>
      </c>
      <c r="K56">
        <f>+G56</f>
        <v>0.1933500000013737</v>
      </c>
      <c r="O56">
        <f ca="1">+C$11+C$12*$F56</f>
        <v>0.19229058596686943</v>
      </c>
      <c r="Q56" s="2">
        <f>+C56-15018.5</f>
        <v>44691.902699999999</v>
      </c>
      <c r="R56" t="s">
        <v>65</v>
      </c>
    </row>
    <row r="57" spans="1:18" ht="12" customHeight="1" x14ac:dyDescent="0.2">
      <c r="C57" s="10"/>
      <c r="D57" s="10"/>
    </row>
    <row r="58" spans="1:18" x14ac:dyDescent="0.2">
      <c r="C58" s="10"/>
      <c r="D58" s="10"/>
    </row>
    <row r="59" spans="1:18" x14ac:dyDescent="0.2">
      <c r="C59" s="10"/>
      <c r="D59" s="10"/>
    </row>
    <row r="60" spans="1:18" x14ac:dyDescent="0.2">
      <c r="C60" s="10"/>
      <c r="D60" s="10"/>
    </row>
    <row r="61" spans="1:18" x14ac:dyDescent="0.2">
      <c r="C61" s="10"/>
      <c r="D61" s="10"/>
    </row>
    <row r="62" spans="1:18" x14ac:dyDescent="0.2">
      <c r="C62" s="10"/>
      <c r="D62" s="10"/>
    </row>
    <row r="63" spans="1:18" x14ac:dyDescent="0.2">
      <c r="C63" s="10"/>
      <c r="D63" s="10"/>
    </row>
    <row r="64" spans="1:18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rotectedRanges>
    <protectedRange sqref="A38:D39" name="Range1"/>
  </protectedRanges>
  <sortState xmlns:xlrd2="http://schemas.microsoft.com/office/spreadsheetml/2017/richdata2" ref="A21:R57">
    <sortCondition ref="C21:C5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8"/>
  <sheetViews>
    <sheetView workbookViewId="0">
      <selection activeCell="A20" sqref="A20:C2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2" t="s">
        <v>56</v>
      </c>
      <c r="I1" s="43" t="s">
        <v>57</v>
      </c>
      <c r="J1" s="44" t="s">
        <v>58</v>
      </c>
    </row>
    <row r="2" spans="1:16" x14ac:dyDescent="0.2">
      <c r="I2" s="45" t="s">
        <v>59</v>
      </c>
      <c r="J2" s="46" t="s">
        <v>60</v>
      </c>
    </row>
    <row r="3" spans="1:16" x14ac:dyDescent="0.2">
      <c r="A3" s="47" t="s">
        <v>61</v>
      </c>
      <c r="I3" s="45" t="s">
        <v>62</v>
      </c>
      <c r="J3" s="46" t="s">
        <v>63</v>
      </c>
    </row>
    <row r="4" spans="1:16" x14ac:dyDescent="0.2">
      <c r="I4" s="45" t="s">
        <v>64</v>
      </c>
      <c r="J4" s="46" t="s">
        <v>63</v>
      </c>
    </row>
    <row r="5" spans="1:16" ht="13.5" thickBot="1" x14ac:dyDescent="0.25">
      <c r="I5" s="48" t="s">
        <v>65</v>
      </c>
      <c r="J5" s="49" t="s">
        <v>43</v>
      </c>
    </row>
    <row r="11" spans="1:16" ht="13.5" thickBot="1" x14ac:dyDescent="0.25"/>
    <row r="12" spans="1:16" ht="12.75" customHeight="1" thickBot="1" x14ac:dyDescent="0.25">
      <c r="A12" s="10" t="str">
        <f t="shared" ref="A12:A21" si="0">P12</f>
        <v>IBVS 5894 </v>
      </c>
      <c r="B12" s="3" t="str">
        <f t="shared" ref="B12:B21" si="1">IF(H12=INT(H12),"I","II")</f>
        <v>I</v>
      </c>
      <c r="C12" s="10">
        <f t="shared" ref="C12:C21" si="2">1*G12</f>
        <v>54852.879399999998</v>
      </c>
      <c r="D12" s="12" t="str">
        <f t="shared" ref="D12:D21" si="3">VLOOKUP(F12,I$1:J$5,2,FALSE)</f>
        <v>vis</v>
      </c>
      <c r="E12" s="50">
        <f>VLOOKUP(C12,Active!C$21:E$971,3,FALSE)</f>
        <v>6969.1741321072259</v>
      </c>
      <c r="F12" s="3" t="s">
        <v>65</v>
      </c>
      <c r="G12" s="12" t="str">
        <f t="shared" ref="G12:G21" si="4">MID(I12,3,LEN(I12)-3)</f>
        <v>54852.8794</v>
      </c>
      <c r="H12" s="10">
        <f t="shared" ref="H12:H21" si="5">1*K12</f>
        <v>6969</v>
      </c>
      <c r="I12" s="51" t="s">
        <v>73</v>
      </c>
      <c r="J12" s="52" t="s">
        <v>74</v>
      </c>
      <c r="K12" s="51">
        <v>6969</v>
      </c>
      <c r="L12" s="51" t="s">
        <v>75</v>
      </c>
      <c r="M12" s="52" t="s">
        <v>69</v>
      </c>
      <c r="N12" s="52" t="s">
        <v>65</v>
      </c>
      <c r="O12" s="53" t="s">
        <v>76</v>
      </c>
      <c r="P12" s="54" t="s">
        <v>77</v>
      </c>
    </row>
    <row r="13" spans="1:16" ht="12.75" customHeight="1" thickBot="1" x14ac:dyDescent="0.25">
      <c r="A13" s="10" t="str">
        <f t="shared" si="0"/>
        <v>IBVS 5945 </v>
      </c>
      <c r="B13" s="3" t="str">
        <f t="shared" si="1"/>
        <v>I</v>
      </c>
      <c r="C13" s="10">
        <f t="shared" si="2"/>
        <v>55245.914299999997</v>
      </c>
      <c r="D13" s="12" t="str">
        <f t="shared" si="3"/>
        <v>vis</v>
      </c>
      <c r="E13" s="50">
        <f>VLOOKUP(C13,Active!C$21:E$971,3,FALSE)</f>
        <v>8079.2038997277332</v>
      </c>
      <c r="F13" s="3" t="s">
        <v>65</v>
      </c>
      <c r="G13" s="12" t="str">
        <f t="shared" si="4"/>
        <v>55245.9143</v>
      </c>
      <c r="H13" s="10">
        <f t="shared" si="5"/>
        <v>8079</v>
      </c>
      <c r="I13" s="51" t="s">
        <v>78</v>
      </c>
      <c r="J13" s="52" t="s">
        <v>79</v>
      </c>
      <c r="K13" s="51">
        <v>8079</v>
      </c>
      <c r="L13" s="51" t="s">
        <v>80</v>
      </c>
      <c r="M13" s="52" t="s">
        <v>69</v>
      </c>
      <c r="N13" s="52" t="s">
        <v>65</v>
      </c>
      <c r="O13" s="53" t="s">
        <v>76</v>
      </c>
      <c r="P13" s="54" t="s">
        <v>81</v>
      </c>
    </row>
    <row r="14" spans="1:16" ht="12.75" customHeight="1" thickBot="1" x14ac:dyDescent="0.25">
      <c r="A14" s="10" t="str">
        <f t="shared" si="0"/>
        <v>BAVM 214 </v>
      </c>
      <c r="B14" s="3" t="str">
        <f t="shared" si="1"/>
        <v>I</v>
      </c>
      <c r="C14" s="10">
        <f t="shared" si="2"/>
        <v>55289.469400000002</v>
      </c>
      <c r="D14" s="12" t="str">
        <f t="shared" si="3"/>
        <v>vis</v>
      </c>
      <c r="E14" s="50">
        <f>VLOOKUP(C14,Active!C$21:E$971,3,FALSE)</f>
        <v>8202.2144963228293</v>
      </c>
      <c r="F14" s="3" t="s">
        <v>65</v>
      </c>
      <c r="G14" s="12" t="str">
        <f t="shared" si="4"/>
        <v>55289.4694</v>
      </c>
      <c r="H14" s="10">
        <f t="shared" si="5"/>
        <v>8202</v>
      </c>
      <c r="I14" s="51" t="s">
        <v>87</v>
      </c>
      <c r="J14" s="52" t="s">
        <v>88</v>
      </c>
      <c r="K14" s="51">
        <v>8202</v>
      </c>
      <c r="L14" s="51" t="s">
        <v>89</v>
      </c>
      <c r="M14" s="52" t="s">
        <v>69</v>
      </c>
      <c r="N14" s="52" t="s">
        <v>90</v>
      </c>
      <c r="O14" s="53" t="s">
        <v>91</v>
      </c>
      <c r="P14" s="54" t="s">
        <v>92</v>
      </c>
    </row>
    <row r="15" spans="1:16" ht="12.75" customHeight="1" thickBot="1" x14ac:dyDescent="0.25">
      <c r="A15" s="10" t="str">
        <f t="shared" si="0"/>
        <v>BAVM 220 </v>
      </c>
      <c r="B15" s="3" t="str">
        <f t="shared" si="1"/>
        <v>II</v>
      </c>
      <c r="C15" s="10">
        <f t="shared" si="2"/>
        <v>55625.318099999997</v>
      </c>
      <c r="D15" s="12" t="str">
        <f t="shared" si="3"/>
        <v>vis</v>
      </c>
      <c r="E15" s="50">
        <f>VLOOKUP(C15,Active!C$21:E$971,3,FALSE)</f>
        <v>9150.7360001807428</v>
      </c>
      <c r="F15" s="3" t="s">
        <v>65</v>
      </c>
      <c r="G15" s="12" t="str">
        <f t="shared" si="4"/>
        <v>55625.3181</v>
      </c>
      <c r="H15" s="10">
        <f t="shared" si="5"/>
        <v>9150.5</v>
      </c>
      <c r="I15" s="51" t="s">
        <v>93</v>
      </c>
      <c r="J15" s="52" t="s">
        <v>94</v>
      </c>
      <c r="K15" s="51" t="s">
        <v>95</v>
      </c>
      <c r="L15" s="51" t="s">
        <v>96</v>
      </c>
      <c r="M15" s="52" t="s">
        <v>69</v>
      </c>
      <c r="N15" s="52" t="s">
        <v>90</v>
      </c>
      <c r="O15" s="53" t="s">
        <v>91</v>
      </c>
      <c r="P15" s="54" t="s">
        <v>97</v>
      </c>
    </row>
    <row r="16" spans="1:16" ht="12.75" customHeight="1" thickBot="1" x14ac:dyDescent="0.25">
      <c r="A16" s="10" t="str">
        <f t="shared" si="0"/>
        <v>BAVM 220 </v>
      </c>
      <c r="B16" s="3" t="str">
        <f t="shared" si="1"/>
        <v>I</v>
      </c>
      <c r="C16" s="10">
        <f t="shared" si="2"/>
        <v>55625.4951</v>
      </c>
      <c r="D16" s="12" t="str">
        <f t="shared" si="3"/>
        <v>vis</v>
      </c>
      <c r="E16" s="50">
        <f>VLOOKUP(C16,Active!C$21:E$971,3,FALSE)</f>
        <v>9151.2358928591602</v>
      </c>
      <c r="F16" s="3" t="s">
        <v>65</v>
      </c>
      <c r="G16" s="12" t="str">
        <f t="shared" si="4"/>
        <v>55625.4951</v>
      </c>
      <c r="H16" s="10">
        <f t="shared" si="5"/>
        <v>9151</v>
      </c>
      <c r="I16" s="51" t="s">
        <v>98</v>
      </c>
      <c r="J16" s="52" t="s">
        <v>99</v>
      </c>
      <c r="K16" s="51" t="s">
        <v>100</v>
      </c>
      <c r="L16" s="51" t="s">
        <v>101</v>
      </c>
      <c r="M16" s="52" t="s">
        <v>69</v>
      </c>
      <c r="N16" s="52" t="s">
        <v>90</v>
      </c>
      <c r="O16" s="53" t="s">
        <v>91</v>
      </c>
      <c r="P16" s="54" t="s">
        <v>97</v>
      </c>
    </row>
    <row r="17" spans="1:16" ht="12.75" customHeight="1" thickBot="1" x14ac:dyDescent="0.25">
      <c r="A17" s="10" t="str">
        <f t="shared" si="0"/>
        <v>IBVS 6050 </v>
      </c>
      <c r="B17" s="3" t="str">
        <f t="shared" si="1"/>
        <v>II</v>
      </c>
      <c r="C17" s="10">
        <f t="shared" si="2"/>
        <v>55984.715700000001</v>
      </c>
      <c r="D17" s="12" t="str">
        <f t="shared" si="3"/>
        <v>vis</v>
      </c>
      <c r="E17" s="50">
        <f>VLOOKUP(C17,Active!C$21:E$971,3,FALSE)</f>
        <v>10165.265541861072</v>
      </c>
      <c r="F17" s="3" t="s">
        <v>65</v>
      </c>
      <c r="G17" s="12" t="str">
        <f t="shared" si="4"/>
        <v>55984.7157</v>
      </c>
      <c r="H17" s="10">
        <f t="shared" si="5"/>
        <v>10165.5</v>
      </c>
      <c r="I17" s="51" t="s">
        <v>102</v>
      </c>
      <c r="J17" s="52" t="s">
        <v>103</v>
      </c>
      <c r="K17" s="51" t="s">
        <v>104</v>
      </c>
      <c r="L17" s="51" t="s">
        <v>105</v>
      </c>
      <c r="M17" s="52" t="s">
        <v>69</v>
      </c>
      <c r="N17" s="52" t="s">
        <v>57</v>
      </c>
      <c r="O17" s="53" t="s">
        <v>106</v>
      </c>
      <c r="P17" s="54" t="s">
        <v>107</v>
      </c>
    </row>
    <row r="18" spans="1:16" ht="12.75" customHeight="1" thickBot="1" x14ac:dyDescent="0.25">
      <c r="A18" s="10" t="str">
        <f t="shared" si="0"/>
        <v>BAVM 239 </v>
      </c>
      <c r="B18" s="3" t="str">
        <f t="shared" si="1"/>
        <v>I</v>
      </c>
      <c r="C18" s="10">
        <f t="shared" si="2"/>
        <v>57074.415699999998</v>
      </c>
      <c r="D18" s="12" t="str">
        <f t="shared" si="3"/>
        <v>vis</v>
      </c>
      <c r="E18" s="50">
        <f>VLOOKUP(C18,Active!C$21:E$971,3,FALSE)</f>
        <v>13243.353404353862</v>
      </c>
      <c r="F18" s="3" t="s">
        <v>65</v>
      </c>
      <c r="G18" s="12" t="str">
        <f t="shared" si="4"/>
        <v>57074.4157</v>
      </c>
      <c r="H18" s="10">
        <f t="shared" si="5"/>
        <v>13243</v>
      </c>
      <c r="I18" s="51" t="s">
        <v>108</v>
      </c>
      <c r="J18" s="52" t="s">
        <v>109</v>
      </c>
      <c r="K18" s="51" t="s">
        <v>110</v>
      </c>
      <c r="L18" s="51" t="s">
        <v>111</v>
      </c>
      <c r="M18" s="52" t="s">
        <v>69</v>
      </c>
      <c r="N18" s="52" t="s">
        <v>90</v>
      </c>
      <c r="O18" s="53" t="s">
        <v>91</v>
      </c>
      <c r="P18" s="54" t="s">
        <v>112</v>
      </c>
    </row>
    <row r="19" spans="1:16" ht="12.75" customHeight="1" thickBot="1" x14ac:dyDescent="0.25">
      <c r="A19" s="10" t="str">
        <f t="shared" si="0"/>
        <v>BAVM 239 </v>
      </c>
      <c r="B19" s="3" t="str">
        <f t="shared" si="1"/>
        <v>II</v>
      </c>
      <c r="C19" s="10">
        <f t="shared" si="2"/>
        <v>57074.593099999998</v>
      </c>
      <c r="D19" s="12" t="str">
        <f t="shared" si="3"/>
        <v>vis</v>
      </c>
      <c r="E19" s="50">
        <f>VLOOKUP(C19,Active!C$21:E$971,3,FALSE)</f>
        <v>13243.854426733238</v>
      </c>
      <c r="F19" s="3" t="s">
        <v>65</v>
      </c>
      <c r="G19" s="12" t="str">
        <f t="shared" si="4"/>
        <v>57074.5931</v>
      </c>
      <c r="H19" s="10">
        <f t="shared" si="5"/>
        <v>13243.5</v>
      </c>
      <c r="I19" s="51" t="s">
        <v>113</v>
      </c>
      <c r="J19" s="52" t="s">
        <v>114</v>
      </c>
      <c r="K19" s="51" t="s">
        <v>115</v>
      </c>
      <c r="L19" s="51" t="s">
        <v>116</v>
      </c>
      <c r="M19" s="52" t="s">
        <v>69</v>
      </c>
      <c r="N19" s="52" t="s">
        <v>90</v>
      </c>
      <c r="O19" s="53" t="s">
        <v>91</v>
      </c>
      <c r="P19" s="54" t="s">
        <v>112</v>
      </c>
    </row>
    <row r="20" spans="1:16" ht="12.75" customHeight="1" thickBot="1" x14ac:dyDescent="0.25">
      <c r="A20" s="10" t="str">
        <f t="shared" si="0"/>
        <v>OEJV 0137 </v>
      </c>
      <c r="B20" s="3" t="str">
        <f t="shared" si="1"/>
        <v>I</v>
      </c>
      <c r="C20" s="10">
        <f t="shared" si="2"/>
        <v>55265.390800000001</v>
      </c>
      <c r="D20" s="12" t="str">
        <f t="shared" si="3"/>
        <v>vis</v>
      </c>
      <c r="E20" s="50" t="e">
        <f>VLOOKUP(C20,Active!C$21:E$971,3,FALSE)</f>
        <v>#N/A</v>
      </c>
      <c r="F20" s="3" t="s">
        <v>65</v>
      </c>
      <c r="G20" s="12" t="str">
        <f t="shared" si="4"/>
        <v>55265.3908</v>
      </c>
      <c r="H20" s="10">
        <f t="shared" si="5"/>
        <v>8134</v>
      </c>
      <c r="I20" s="51" t="s">
        <v>82</v>
      </c>
      <c r="J20" s="52" t="s">
        <v>83</v>
      </c>
      <c r="K20" s="51">
        <v>8134</v>
      </c>
      <c r="L20" s="51" t="s">
        <v>84</v>
      </c>
      <c r="M20" s="52" t="s">
        <v>69</v>
      </c>
      <c r="N20" s="52" t="s">
        <v>57</v>
      </c>
      <c r="O20" s="53" t="s">
        <v>85</v>
      </c>
      <c r="P20" s="54" t="s">
        <v>86</v>
      </c>
    </row>
    <row r="21" spans="1:16" ht="12.75" customHeight="1" thickBot="1" x14ac:dyDescent="0.25">
      <c r="A21" s="10" t="str">
        <f t="shared" si="0"/>
        <v>OEJV 0094 </v>
      </c>
      <c r="B21" s="3" t="str">
        <f t="shared" si="1"/>
        <v>I</v>
      </c>
      <c r="C21" s="10">
        <f t="shared" si="2"/>
        <v>54500.566299999999</v>
      </c>
      <c r="D21" s="12" t="str">
        <f t="shared" si="3"/>
        <v>vis</v>
      </c>
      <c r="E21" s="50" t="e">
        <f>VLOOKUP(C21,Active!C$21:E$971,3,FALSE)</f>
        <v>#N/A</v>
      </c>
      <c r="F21" s="3" t="s">
        <v>65</v>
      </c>
      <c r="G21" s="12" t="str">
        <f t="shared" si="4"/>
        <v>54500.5663</v>
      </c>
      <c r="H21" s="10">
        <f t="shared" si="5"/>
        <v>5974</v>
      </c>
      <c r="I21" s="51" t="s">
        <v>66</v>
      </c>
      <c r="J21" s="52" t="s">
        <v>67</v>
      </c>
      <c r="K21" s="51">
        <v>5974</v>
      </c>
      <c r="L21" s="51" t="s">
        <v>68</v>
      </c>
      <c r="M21" s="52" t="s">
        <v>69</v>
      </c>
      <c r="N21" s="52" t="s">
        <v>70</v>
      </c>
      <c r="O21" s="53" t="s">
        <v>71</v>
      </c>
      <c r="P21" s="54" t="s">
        <v>72</v>
      </c>
    </row>
    <row r="22" spans="1:16" x14ac:dyDescent="0.2">
      <c r="B22" s="3"/>
      <c r="E22" s="50"/>
      <c r="F22" s="3"/>
    </row>
    <row r="23" spans="1:16" x14ac:dyDescent="0.2">
      <c r="B23" s="3"/>
      <c r="E23" s="50"/>
      <c r="F23" s="3"/>
    </row>
    <row r="24" spans="1:16" x14ac:dyDescent="0.2">
      <c r="B24" s="3"/>
      <c r="E24" s="50"/>
      <c r="F24" s="3"/>
    </row>
    <row r="25" spans="1:16" x14ac:dyDescent="0.2">
      <c r="B25" s="3"/>
      <c r="E25" s="50"/>
      <c r="F25" s="3"/>
    </row>
    <row r="26" spans="1:16" x14ac:dyDescent="0.2">
      <c r="B26" s="3"/>
      <c r="E26" s="50"/>
      <c r="F26" s="3"/>
    </row>
    <row r="27" spans="1:16" x14ac:dyDescent="0.2">
      <c r="B27" s="3"/>
      <c r="E27" s="50"/>
      <c r="F27" s="3"/>
    </row>
    <row r="28" spans="1:16" x14ac:dyDescent="0.2">
      <c r="B28" s="3"/>
      <c r="E28" s="50"/>
      <c r="F28" s="3"/>
    </row>
    <row r="29" spans="1:16" x14ac:dyDescent="0.2">
      <c r="B29" s="3"/>
      <c r="E29" s="50"/>
      <c r="F29" s="3"/>
    </row>
    <row r="30" spans="1:16" x14ac:dyDescent="0.2">
      <c r="B30" s="3"/>
      <c r="E30" s="50"/>
      <c r="F30" s="3"/>
    </row>
    <row r="31" spans="1:16" x14ac:dyDescent="0.2">
      <c r="B31" s="3"/>
      <c r="E31" s="50"/>
      <c r="F31" s="3"/>
    </row>
    <row r="32" spans="1:16" x14ac:dyDescent="0.2">
      <c r="B32" s="3"/>
      <c r="E32" s="50"/>
      <c r="F32" s="3"/>
    </row>
    <row r="33" spans="2:6" x14ac:dyDescent="0.2">
      <c r="B33" s="3"/>
      <c r="E33" s="50"/>
      <c r="F33" s="3"/>
    </row>
    <row r="34" spans="2:6" x14ac:dyDescent="0.2">
      <c r="B34" s="3"/>
      <c r="E34" s="50"/>
      <c r="F34" s="3"/>
    </row>
    <row r="35" spans="2:6" x14ac:dyDescent="0.2">
      <c r="B35" s="3"/>
      <c r="E35" s="50"/>
      <c r="F35" s="3"/>
    </row>
    <row r="36" spans="2:6" x14ac:dyDescent="0.2">
      <c r="B36" s="3"/>
      <c r="E36" s="50"/>
      <c r="F36" s="3"/>
    </row>
    <row r="37" spans="2:6" x14ac:dyDescent="0.2">
      <c r="B37" s="3"/>
      <c r="E37" s="50"/>
      <c r="F37" s="3"/>
    </row>
    <row r="38" spans="2:6" x14ac:dyDescent="0.2">
      <c r="B38" s="3"/>
      <c r="E38" s="50"/>
      <c r="F38" s="3"/>
    </row>
    <row r="39" spans="2:6" x14ac:dyDescent="0.2">
      <c r="B39" s="3"/>
      <c r="E39" s="50"/>
      <c r="F39" s="3"/>
    </row>
    <row r="40" spans="2:6" x14ac:dyDescent="0.2">
      <c r="B40" s="3"/>
      <c r="E40" s="50"/>
      <c r="F40" s="3"/>
    </row>
    <row r="41" spans="2:6" x14ac:dyDescent="0.2">
      <c r="B41" s="3"/>
      <c r="E41" s="50"/>
      <c r="F41" s="3"/>
    </row>
    <row r="42" spans="2:6" x14ac:dyDescent="0.2">
      <c r="B42" s="3"/>
      <c r="E42" s="50"/>
      <c r="F42" s="3"/>
    </row>
    <row r="43" spans="2:6" x14ac:dyDescent="0.2">
      <c r="B43" s="3"/>
      <c r="E43" s="50"/>
      <c r="F43" s="3"/>
    </row>
    <row r="44" spans="2:6" x14ac:dyDescent="0.2">
      <c r="B44" s="3"/>
      <c r="E44" s="50"/>
      <c r="F44" s="3"/>
    </row>
    <row r="45" spans="2:6" x14ac:dyDescent="0.2">
      <c r="B45" s="3"/>
      <c r="E45" s="50"/>
      <c r="F45" s="3"/>
    </row>
    <row r="46" spans="2:6" x14ac:dyDescent="0.2">
      <c r="B46" s="3"/>
      <c r="E46" s="50"/>
      <c r="F46" s="3"/>
    </row>
    <row r="47" spans="2:6" x14ac:dyDescent="0.2">
      <c r="B47" s="3"/>
      <c r="E47" s="50"/>
      <c r="F47" s="3"/>
    </row>
    <row r="48" spans="2:6" x14ac:dyDescent="0.2">
      <c r="B48" s="3"/>
      <c r="E48" s="50"/>
      <c r="F48" s="3"/>
    </row>
    <row r="49" spans="2:6" x14ac:dyDescent="0.2">
      <c r="B49" s="3"/>
      <c r="E49" s="50"/>
      <c r="F49" s="3"/>
    </row>
    <row r="50" spans="2:6" x14ac:dyDescent="0.2">
      <c r="B50" s="3"/>
      <c r="E50" s="50"/>
      <c r="F50" s="3"/>
    </row>
    <row r="51" spans="2:6" x14ac:dyDescent="0.2">
      <c r="B51" s="3"/>
      <c r="E51" s="50"/>
      <c r="F51" s="3"/>
    </row>
    <row r="52" spans="2:6" x14ac:dyDescent="0.2">
      <c r="B52" s="3"/>
      <c r="E52" s="50"/>
      <c r="F52" s="3"/>
    </row>
    <row r="53" spans="2:6" x14ac:dyDescent="0.2">
      <c r="B53" s="3"/>
      <c r="E53" s="50"/>
      <c r="F53" s="3"/>
    </row>
    <row r="54" spans="2:6" x14ac:dyDescent="0.2">
      <c r="B54" s="3"/>
      <c r="E54" s="50"/>
      <c r="F54" s="3"/>
    </row>
    <row r="55" spans="2:6" x14ac:dyDescent="0.2">
      <c r="B55" s="3"/>
      <c r="E55" s="50"/>
      <c r="F55" s="3"/>
    </row>
    <row r="56" spans="2:6" x14ac:dyDescent="0.2">
      <c r="B56" s="3"/>
      <c r="E56" s="50"/>
      <c r="F56" s="3"/>
    </row>
    <row r="57" spans="2:6" x14ac:dyDescent="0.2">
      <c r="B57" s="3"/>
      <c r="E57" s="50"/>
      <c r="F57" s="3"/>
    </row>
    <row r="58" spans="2:6" x14ac:dyDescent="0.2">
      <c r="B58" s="3"/>
      <c r="E58" s="50"/>
      <c r="F58" s="3"/>
    </row>
    <row r="59" spans="2:6" x14ac:dyDescent="0.2">
      <c r="B59" s="3"/>
      <c r="E59" s="50"/>
      <c r="F59" s="3"/>
    </row>
    <row r="60" spans="2:6" x14ac:dyDescent="0.2">
      <c r="B60" s="3"/>
      <c r="E60" s="50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</sheetData>
  <phoneticPr fontId="7" type="noConversion"/>
  <hyperlinks>
    <hyperlink ref="P21" r:id="rId1" display="http://var.astro.cz/oejv/issues/oejv0094.pdf"/>
    <hyperlink ref="P12" r:id="rId2" display="http://www.konkoly.hu/cgi-bin/IBVS?5894"/>
    <hyperlink ref="P13" r:id="rId3" display="http://www.konkoly.hu/cgi-bin/IBVS?5945"/>
    <hyperlink ref="P20" r:id="rId4" display="http://var.astro.cz/oejv/issues/oejv0137.pdf"/>
    <hyperlink ref="P14" r:id="rId5" display="http://www.bav-astro.de/sfs/BAVM_link.php?BAVMnr=214"/>
    <hyperlink ref="P15" r:id="rId6" display="http://www.bav-astro.de/sfs/BAVM_link.php?BAVMnr=220"/>
    <hyperlink ref="P16" r:id="rId7" display="http://www.bav-astro.de/sfs/BAVM_link.php?BAVMnr=220"/>
    <hyperlink ref="P17" r:id="rId8" display="http://www.konkoly.hu/cgi-bin/IBVS?6050"/>
    <hyperlink ref="P18" r:id="rId9" display="http://www.bav-astro.de/sfs/BAVM_link.php?BAVMnr=239"/>
    <hyperlink ref="P19" r:id="rId10" display="http://www.bav-astro.de/sfs/BAVM_link.php?BAVMnr=23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E27" sqref="E2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29" t="s">
        <v>38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52385.2621</v>
      </c>
      <c r="D4" s="9">
        <v>0.354076</v>
      </c>
    </row>
    <row r="6" spans="1:7" x14ac:dyDescent="0.2">
      <c r="A6" s="5" t="s">
        <v>1</v>
      </c>
    </row>
    <row r="7" spans="1:7" x14ac:dyDescent="0.2">
      <c r="A7" t="s">
        <v>2</v>
      </c>
      <c r="C7">
        <v>55984.539151504163</v>
      </c>
    </row>
    <row r="8" spans="1:7" x14ac:dyDescent="0.2">
      <c r="A8" t="s">
        <v>3</v>
      </c>
      <c r="C8">
        <v>0.35408585817206129</v>
      </c>
    </row>
    <row r="9" spans="1:7" x14ac:dyDescent="0.2">
      <c r="A9" s="11" t="s">
        <v>30</v>
      </c>
      <c r="B9" s="12"/>
      <c r="C9" s="13">
        <v>8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2.2747587300175919E-12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2.2313159751615212E-16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47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59962.438929398151</v>
      </c>
    </row>
    <row r="15" spans="1:7" x14ac:dyDescent="0.2">
      <c r="A15" s="14" t="s">
        <v>18</v>
      </c>
      <c r="B15" s="12"/>
      <c r="C15" s="15">
        <f ca="1">(C7+C11)+(C8+C12)*INT(MAX(F21:F3533))</f>
        <v>55984.539151504163</v>
      </c>
      <c r="D15" s="16" t="s">
        <v>48</v>
      </c>
      <c r="E15" s="17">
        <f ca="1">ROUND(2*(E14-$C$7)/$C$8,0)/2+E13</f>
        <v>11235.5</v>
      </c>
    </row>
    <row r="16" spans="1:7" x14ac:dyDescent="0.2">
      <c r="A16" s="18" t="s">
        <v>4</v>
      </c>
      <c r="B16" s="12"/>
      <c r="C16" s="19">
        <f ca="1">+C8+C12</f>
        <v>0.35408585817206151</v>
      </c>
      <c r="D16" s="16" t="s">
        <v>33</v>
      </c>
      <c r="E16" s="26">
        <f ca="1">ROUND(2*(E14-$C$15)/$C$16,0)/2+E13</f>
        <v>11235.5</v>
      </c>
    </row>
    <row r="17" spans="1:17" ht="13.5" thickBot="1" x14ac:dyDescent="0.25">
      <c r="A17" s="16" t="s">
        <v>29</v>
      </c>
      <c r="B17" s="12"/>
      <c r="C17" s="12">
        <f>COUNT(C21:C2191)</f>
        <v>7</v>
      </c>
      <c r="D17" s="16" t="s">
        <v>34</v>
      </c>
      <c r="E17" s="20">
        <f ca="1">+$C$15+$C$16*E16-15018.5-$C$9/24</f>
        <v>44944.037477663027</v>
      </c>
    </row>
    <row r="18" spans="1:17" ht="14.25" thickTop="1" thickBot="1" x14ac:dyDescent="0.25">
      <c r="A18" s="18" t="s">
        <v>5</v>
      </c>
      <c r="B18" s="12"/>
      <c r="C18" s="21">
        <f ca="1">+C15</f>
        <v>55984.539151504163</v>
      </c>
      <c r="D18" s="22">
        <f ca="1">+C16</f>
        <v>0.35408585817206151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45</v>
      </c>
      <c r="J20" s="7" t="s">
        <v>28</v>
      </c>
      <c r="K20" s="7" t="s">
        <v>51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30" t="s">
        <v>41</v>
      </c>
      <c r="B21" s="31" t="s">
        <v>42</v>
      </c>
      <c r="C21" s="30">
        <v>49934.625</v>
      </c>
      <c r="D21" s="32" t="s">
        <v>43</v>
      </c>
      <c r="E21">
        <f t="shared" ref="E21:E27" si="0">+(C21-C$7)/C$8</f>
        <v>-17086.008977416779</v>
      </c>
      <c r="F21">
        <f t="shared" ref="F21:F27" si="1">ROUND(2*E21,0)/2</f>
        <v>-17086</v>
      </c>
      <c r="G21">
        <f t="shared" ref="G21:G27" si="2">+C21-(C$7+F21*C$8)</f>
        <v>-3.1787763218744658E-3</v>
      </c>
      <c r="I21">
        <f>+G21</f>
        <v>-3.1787763218744658E-3</v>
      </c>
      <c r="O21">
        <f t="shared" ref="O21:O27" ca="1" si="3">+C$11+C$12*$F21</f>
        <v>-1.5376677451433829E-12</v>
      </c>
      <c r="Q21" s="2">
        <f t="shared" ref="Q21:Q27" si="4">+C21-15018.5</f>
        <v>34916.125</v>
      </c>
    </row>
    <row r="22" spans="1:17" x14ac:dyDescent="0.2">
      <c r="A22" s="33" t="s">
        <v>12</v>
      </c>
      <c r="B22" s="33"/>
      <c r="C22" s="30">
        <v>52385.2621</v>
      </c>
      <c r="D22" s="30" t="s">
        <v>14</v>
      </c>
      <c r="E22">
        <f t="shared" si="0"/>
        <v>-10164.983911204843</v>
      </c>
      <c r="F22">
        <f t="shared" si="1"/>
        <v>-10165</v>
      </c>
      <c r="G22">
        <f t="shared" si="2"/>
        <v>5.6968148419400677E-3</v>
      </c>
      <c r="H22">
        <f>+G22</f>
        <v>5.6968148419400677E-3</v>
      </c>
      <c r="O22">
        <f t="shared" ca="1" si="3"/>
        <v>6.6260412659058187E-15</v>
      </c>
      <c r="Q22" s="2">
        <f t="shared" si="4"/>
        <v>37366.7621</v>
      </c>
    </row>
    <row r="23" spans="1:17" x14ac:dyDescent="0.2">
      <c r="A23" s="30" t="s">
        <v>44</v>
      </c>
      <c r="B23" s="31" t="s">
        <v>40</v>
      </c>
      <c r="C23" s="30">
        <v>54500.566330000001</v>
      </c>
      <c r="D23" s="30">
        <v>1E-4</v>
      </c>
      <c r="E23">
        <f t="shared" si="0"/>
        <v>-4190.9971473163241</v>
      </c>
      <c r="F23">
        <f t="shared" si="1"/>
        <v>-4191</v>
      </c>
      <c r="G23">
        <f t="shared" si="2"/>
        <v>1.010094943922013E-3</v>
      </c>
      <c r="I23">
        <f>+G23</f>
        <v>1.010094943922013E-3</v>
      </c>
      <c r="O23">
        <f t="shared" ca="1" si="3"/>
        <v>1.3396142048273984E-12</v>
      </c>
      <c r="Q23" s="2">
        <f t="shared" si="4"/>
        <v>39482.066330000001</v>
      </c>
    </row>
    <row r="24" spans="1:17" x14ac:dyDescent="0.2">
      <c r="A24" s="30" t="s">
        <v>39</v>
      </c>
      <c r="B24" s="31" t="s">
        <v>40</v>
      </c>
      <c r="C24" s="30">
        <v>54852.879399999998</v>
      </c>
      <c r="D24" s="30">
        <v>4.0000000000000002E-4</v>
      </c>
      <c r="E24">
        <f t="shared" si="0"/>
        <v>-3196.0038092067953</v>
      </c>
      <c r="F24">
        <f t="shared" si="1"/>
        <v>-3196</v>
      </c>
      <c r="G24">
        <f t="shared" si="2"/>
        <v>-1.3487862597685307E-3</v>
      </c>
      <c r="J24">
        <f>+G24</f>
        <v>-1.3487862597685307E-3</v>
      </c>
      <c r="O24">
        <f t="shared" ca="1" si="3"/>
        <v>1.5616301443559697E-12</v>
      </c>
      <c r="Q24" s="2">
        <f t="shared" si="4"/>
        <v>39834.379399999998</v>
      </c>
    </row>
    <row r="25" spans="1:17" x14ac:dyDescent="0.2">
      <c r="A25" s="34" t="s">
        <v>46</v>
      </c>
      <c r="B25" s="35" t="s">
        <v>40</v>
      </c>
      <c r="C25" s="34">
        <v>55245.914299999997</v>
      </c>
      <c r="D25" s="34">
        <v>2.9999999999999997E-4</v>
      </c>
      <c r="E25">
        <f t="shared" si="0"/>
        <v>-2086.0049461372319</v>
      </c>
      <c r="F25">
        <f t="shared" si="1"/>
        <v>-2086</v>
      </c>
      <c r="G25">
        <f t="shared" si="2"/>
        <v>-1.7513572456664406E-3</v>
      </c>
      <c r="J25">
        <f>+G25</f>
        <v>-1.7513572456664406E-3</v>
      </c>
      <c r="O25">
        <f t="shared" ca="1" si="3"/>
        <v>1.8093062175988987E-12</v>
      </c>
      <c r="Q25" s="2">
        <f t="shared" si="4"/>
        <v>40227.414299999997</v>
      </c>
    </row>
    <row r="26" spans="1:17" x14ac:dyDescent="0.2">
      <c r="A26" s="36" t="s">
        <v>49</v>
      </c>
      <c r="B26" s="37" t="s">
        <v>40</v>
      </c>
      <c r="C26" s="38">
        <v>55265.39084</v>
      </c>
      <c r="D26" s="38">
        <v>1E-4</v>
      </c>
      <c r="E26">
        <f t="shared" si="0"/>
        <v>-2030.9998123525916</v>
      </c>
      <c r="F26">
        <f t="shared" si="1"/>
        <v>-2031</v>
      </c>
      <c r="G26">
        <f t="shared" si="2"/>
        <v>6.6443295509088784E-5</v>
      </c>
      <c r="I26">
        <f>+G26</f>
        <v>6.6443295509088784E-5</v>
      </c>
      <c r="O26">
        <f t="shared" ca="1" si="3"/>
        <v>1.8215784554622871E-12</v>
      </c>
      <c r="Q26" s="2">
        <f t="shared" si="4"/>
        <v>40246.89084</v>
      </c>
    </row>
    <row r="27" spans="1:17" x14ac:dyDescent="0.2">
      <c r="A27" s="5" t="s">
        <v>50</v>
      </c>
      <c r="C27" s="10">
        <v>55984.715700000001</v>
      </c>
      <c r="D27" s="10">
        <v>1E-4</v>
      </c>
      <c r="E27">
        <f t="shared" si="0"/>
        <v>0.49860363457946388</v>
      </c>
      <c r="F27">
        <f t="shared" si="1"/>
        <v>0.5</v>
      </c>
      <c r="G27">
        <f t="shared" si="2"/>
        <v>-4.9443324678577483E-4</v>
      </c>
      <c r="K27">
        <f>+G27</f>
        <v>-4.9443324678577483E-4</v>
      </c>
      <c r="O27">
        <f t="shared" ca="1" si="3"/>
        <v>2.27487029581635E-12</v>
      </c>
      <c r="Q27" s="2">
        <f t="shared" si="4"/>
        <v>40966.215700000001</v>
      </c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2023-01-17T04:02:03Z</dcterms:modified>
</cp:coreProperties>
</file>