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5B0A567-6768-4BC9-B271-9EF3D299E851}" xr6:coauthVersionLast="47" xr6:coauthVersionMax="47" xr10:uidLastSave="{00000000-0000-0000-0000-000000000000}"/>
  <bookViews>
    <workbookView xWindow="13935" yWindow="99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E27" i="1"/>
  <c r="F27" i="1"/>
  <c r="G27" i="1"/>
  <c r="K27" i="1"/>
  <c r="D9" i="1"/>
  <c r="C9" i="1"/>
  <c r="E21" i="1"/>
  <c r="F21" i="1"/>
  <c r="G21" i="1"/>
  <c r="I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Q27" i="1"/>
  <c r="Q21" i="1"/>
  <c r="Q22" i="1"/>
  <c r="Q23" i="1"/>
  <c r="Q24" i="1"/>
  <c r="Q25" i="1"/>
  <c r="Q26" i="1"/>
  <c r="F16" i="1"/>
  <c r="C17" i="1"/>
  <c r="C11" i="1"/>
  <c r="C12" i="1"/>
  <c r="O28" i="1" l="1"/>
  <c r="S28" i="1" s="1"/>
  <c r="C16" i="1"/>
  <c r="D18" i="1" s="1"/>
  <c r="O21" i="1"/>
  <c r="S21" i="1" s="1"/>
  <c r="O25" i="1"/>
  <c r="S25" i="1" s="1"/>
  <c r="O24" i="1"/>
  <c r="S24" i="1" s="1"/>
  <c r="C15" i="1"/>
  <c r="O22" i="1"/>
  <c r="S22" i="1" s="1"/>
  <c r="O27" i="1"/>
  <c r="S27" i="1" s="1"/>
  <c r="O26" i="1"/>
  <c r="S26" i="1" s="1"/>
  <c r="O23" i="1"/>
  <c r="S23" i="1" s="1"/>
  <c r="F17" i="1"/>
  <c r="C18" i="1" l="1"/>
  <c r="F18" i="1"/>
  <c r="F19" i="1" s="1"/>
  <c r="S19" i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<sst xmlns="http://schemas.openxmlformats.org/spreadsheetml/2006/main" count="62" uniqueCount="56">
  <si>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</si>
  <si>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</si>
  <si>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</si>
  <si>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</si>
  <si>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</si>
  <si>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</si>
  <si>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</si>
  <si>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</si>
  <si>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</si>
  <si>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</si>
  <si>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</si>
  <si>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</si>
  <si>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</si>
  <si>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</si>
  <si>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</si>
  <si>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</si>
  <si>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</si>
  <si>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</si>
  <si>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</si>
  <si>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</si>
  <si>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</si>
  <si>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</si>
  <si>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</si>
  <si>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</si>
  <si>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</si>
  <si>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</si>
  <si>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</si>
  <si>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</si>
  <si>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</si>
  <si>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</si>
  <si>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</si>
  <si>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</si>
  <si>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</si>
  <si>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</si>
  <si>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</si>
  <si>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</si>
  <si>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</si>
  <si>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G1971-0916</t>
  </si>
  <si>
    <t>EW?</t>
  </si>
  <si>
    <t>IBVS 5945</t>
  </si>
  <si>
    <t>II</t>
  </si>
  <si>
    <t>IBVS 5992</t>
  </si>
  <si>
    <t>I</t>
  </si>
  <si>
    <t>IBVS 6029</t>
  </si>
  <si>
    <t>IBVS 6063</t>
  </si>
  <si>
    <t>Leo</t>
  </si>
  <si>
    <t>VSX has the same period</t>
  </si>
  <si>
    <t>MO Leo / GSC 1971-0916</t>
  </si>
  <si>
    <t>as of 2021-01-15</t>
  </si>
  <si>
    <t>GCVS</t>
  </si>
  <si>
    <t>RHN 2021</t>
  </si>
  <si>
    <t>pg</t>
  </si>
  <si>
    <t>vis</t>
  </si>
  <si>
    <t>PE</t>
  </si>
  <si>
    <t>CCD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</si>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</sst>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8" fillId="0" borderId="0" xfId="0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2" fontId="20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Leo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18-42DF-AF20-F31140F4BC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18-42DF-AF20-F31140F4BC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18-42DF-AF20-F31140F4BC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5.5825000017648563E-3</c:v>
                </c:pt>
                <c:pt idx="2">
                  <c:v>6.0900000244146213E-4</c:v>
                </c:pt>
                <c:pt idx="3">
                  <c:v>2.3480000018025748E-3</c:v>
                </c:pt>
                <c:pt idx="4">
                  <c:v>2.8920000040670857E-3</c:v>
                </c:pt>
                <c:pt idx="5">
                  <c:v>-1.366999997117091E-3</c:v>
                </c:pt>
                <c:pt idx="6">
                  <c:v>-5.8864999955403619E-3</c:v>
                </c:pt>
                <c:pt idx="7">
                  <c:v>-1.2477999996917788E-2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18-42DF-AF20-F31140F4BC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18-42DF-AF20-F31140F4BC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18-42DF-AF20-F31140F4BC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18-42DF-AF20-F31140F4BC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4.4005873538865859E-3</c:v>
                </c:pt>
                <c:pt idx="1">
                  <c:v>2.5704198035213224E-3</c:v>
                </c:pt>
                <c:pt idx="2">
                  <c:v>1.4531003300525046E-3</c:v>
                </c:pt>
                <c:pt idx="3">
                  <c:v>6.1969706368092403E-4</c:v>
                </c:pt>
                <c:pt idx="4">
                  <c:v>4.5895681104741147E-4</c:v>
                </c:pt>
                <c:pt idx="5">
                  <c:v>-3.4998598209733025E-4</c:v>
                </c:pt>
                <c:pt idx="6">
                  <c:v>-8.3197323123991446E-3</c:v>
                </c:pt>
                <c:pt idx="7">
                  <c:v>-9.1330430471915375E-3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18-42DF-AF20-F31140F4BC7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18-42DF-AF20-F31140F4B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454136"/>
        <c:axId val="1"/>
      </c:scatterChart>
      <c:valAx>
        <c:axId val="867454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454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A95040-E5AA-7BFB-954B-285C8C1AC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F8" sqref="F8: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47</v>
      </c>
    </row>
    <row r="2" spans="1:6" x14ac:dyDescent="0.2">
      <c r="A2" t="s">
        <v>23</v>
      </c>
      <c r="B2" t="s">
        <v>38</v>
      </c>
      <c r="C2" s="3"/>
      <c r="D2" s="3" t="s">
        <v>45</v>
      </c>
      <c r="E2" s="30" t="s">
        <v>37</v>
      </c>
      <c r="F2" t="s">
        <v>37</v>
      </c>
    </row>
    <row r="3" spans="1:6" ht="13.5" thickBot="1" x14ac:dyDescent="0.25"/>
    <row r="4" spans="1:6" ht="14.25" thickTop="1" thickBot="1" x14ac:dyDescent="0.25">
      <c r="A4" s="5" t="s">
        <v>0</v>
      </c>
      <c r="C4" s="27">
        <v>54573.557999999997</v>
      </c>
      <c r="D4" s="28">
        <v>0.63969299999999996</v>
      </c>
      <c r="E4" s="39" t="s">
        <v>48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  <c r="C6" s="38" t="s">
        <v>46</v>
      </c>
    </row>
    <row r="7" spans="1:6" x14ac:dyDescent="0.2">
      <c r="A7" t="s">
        <v>2</v>
      </c>
      <c r="C7" s="8">
        <v>54573.557999999997</v>
      </c>
      <c r="D7" s="29"/>
    </row>
    <row r="8" spans="1:6" x14ac:dyDescent="0.2">
      <c r="A8" t="s">
        <v>3</v>
      </c>
      <c r="C8" s="8">
        <v>0.63969299999999996</v>
      </c>
      <c r="D8" s="29"/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INTERCEPT(INDIRECT($D$9):G991,INDIRECT($C$9):F991)</f>
        <v>4.4005873538865859E-3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SLOPE(INDIRECT($D$9):G991,INDIRECT($C$9):F991)</f>
        <v>-1.7471766590599177E-6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59528.610844956951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0.63969125282334094</v>
      </c>
      <c r="E16" s="14" t="s">
        <v>30</v>
      </c>
      <c r="F16" s="15">
        <f ca="1">NOW()+15018.5+$C$5/24</f>
        <v>59961.715714004626</v>
      </c>
    </row>
    <row r="17" spans="1:21" ht="13.5" thickBot="1" x14ac:dyDescent="0.25">
      <c r="A17" s="14" t="s">
        <v>27</v>
      </c>
      <c r="B17" s="10"/>
      <c r="C17" s="10">
        <f>COUNT(C21:C2190)</f>
        <v>8</v>
      </c>
      <c r="E17" s="14" t="s">
        <v>35</v>
      </c>
      <c r="F17" s="15">
        <f ca="1">ROUND(2*(F16-$C$7)/$C$8,0)/2+F15</f>
        <v>8424</v>
      </c>
    </row>
    <row r="18" spans="1:21" ht="14.25" thickTop="1" thickBot="1" x14ac:dyDescent="0.25">
      <c r="A18" s="16" t="s">
        <v>5</v>
      </c>
      <c r="B18" s="10"/>
      <c r="C18" s="19">
        <f ca="1">+C15</f>
        <v>59528.610844956951</v>
      </c>
      <c r="D18" s="20">
        <f ca="1">+C16</f>
        <v>0.63969125282334094</v>
      </c>
      <c r="E18" s="14" t="s">
        <v>36</v>
      </c>
      <c r="F18" s="23">
        <f ca="1">ROUND(2*(F16-$C$15)/$C$16,0)/2+F15</f>
        <v>678</v>
      </c>
    </row>
    <row r="19" spans="1:21" ht="13.5" thickTop="1" x14ac:dyDescent="0.2">
      <c r="E19" s="14" t="s">
        <v>31</v>
      </c>
      <c r="F19" s="18">
        <f ca="1">+$C$15+$C$16*F18-15018.5-$C$5/24</f>
        <v>44944.217347704514</v>
      </c>
      <c r="S19">
        <f ca="1">SQRT(SUM(S21:S25)/(COUNT(S21:S25)-1))</f>
        <v>3.0845190779086504E-3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52</v>
      </c>
      <c r="J20" s="7" t="s">
        <v>53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49</v>
      </c>
      <c r="C21" s="8">
        <v>54573.557999999997</v>
      </c>
      <c r="D21" s="8"/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4.4005873538865859E-3</v>
      </c>
      <c r="Q21" s="2">
        <f t="shared" ref="Q21:Q27" si="4">+C21-15018.5</f>
        <v>39555.057999999997</v>
      </c>
      <c r="S21">
        <f t="shared" ref="S21:S27" ca="1" si="5">+(O21-G21)^2</f>
        <v>1.9365169059186543E-5</v>
      </c>
    </row>
    <row r="22" spans="1:21" x14ac:dyDescent="0.2">
      <c r="A22" s="31" t="s">
        <v>39</v>
      </c>
      <c r="B22" s="32" t="s">
        <v>40</v>
      </c>
      <c r="C22" s="31">
        <v>55243.642</v>
      </c>
      <c r="D22" s="31">
        <v>4.0000000000000001E-3</v>
      </c>
      <c r="E22">
        <f t="shared" si="0"/>
        <v>1047.5087268424113</v>
      </c>
      <c r="F22">
        <f t="shared" si="1"/>
        <v>1047.5</v>
      </c>
      <c r="G22">
        <f t="shared" si="2"/>
        <v>5.5825000017648563E-3</v>
      </c>
      <c r="K22">
        <f t="shared" ref="K22:K27" si="6">+G22</f>
        <v>5.5825000017648563E-3</v>
      </c>
      <c r="O22">
        <f t="shared" ca="1" si="3"/>
        <v>2.5704198035213224E-3</v>
      </c>
      <c r="Q22" s="2">
        <f t="shared" si="4"/>
        <v>40225.142</v>
      </c>
      <c r="S22">
        <f t="shared" ca="1" si="5"/>
        <v>9.0726271206508062E-6</v>
      </c>
    </row>
    <row r="23" spans="1:21" x14ac:dyDescent="0.2">
      <c r="A23" s="31" t="s">
        <v>41</v>
      </c>
      <c r="B23" s="32" t="s">
        <v>42</v>
      </c>
      <c r="C23" s="31">
        <v>55652.720699999998</v>
      </c>
      <c r="D23" s="31">
        <v>2.0000000000000001E-4</v>
      </c>
      <c r="E23">
        <f t="shared" si="0"/>
        <v>1687.0009520191729</v>
      </c>
      <c r="F23">
        <f t="shared" si="1"/>
        <v>1687</v>
      </c>
      <c r="G23">
        <f t="shared" si="2"/>
        <v>6.0900000244146213E-4</v>
      </c>
      <c r="K23">
        <f t="shared" si="6"/>
        <v>6.0900000244146213E-4</v>
      </c>
      <c r="O23">
        <f t="shared" ca="1" si="3"/>
        <v>1.4531003300525046E-3</v>
      </c>
      <c r="Q23" s="2">
        <f t="shared" si="4"/>
        <v>40634.220699999998</v>
      </c>
      <c r="S23">
        <f t="shared" ca="1" si="5"/>
        <v>7.1250536307306912E-7</v>
      </c>
    </row>
    <row r="24" spans="1:21" x14ac:dyDescent="0.2">
      <c r="A24" s="33" t="s">
        <v>43</v>
      </c>
      <c r="B24" s="34" t="s">
        <v>42</v>
      </c>
      <c r="C24" s="33">
        <v>55957.856</v>
      </c>
      <c r="D24" s="33">
        <v>2.9999999999999997E-4</v>
      </c>
      <c r="E24">
        <f t="shared" si="0"/>
        <v>2164.0036705107022</v>
      </c>
      <c r="F24">
        <f t="shared" si="1"/>
        <v>2164</v>
      </c>
      <c r="G24">
        <f t="shared" si="2"/>
        <v>2.3480000018025748E-3</v>
      </c>
      <c r="K24">
        <f t="shared" si="6"/>
        <v>2.3480000018025748E-3</v>
      </c>
      <c r="O24">
        <f t="shared" ca="1" si="3"/>
        <v>6.1969706368092403E-4</v>
      </c>
      <c r="Q24" s="2">
        <f t="shared" si="4"/>
        <v>40939.356</v>
      </c>
      <c r="S24">
        <f t="shared" ca="1" si="5"/>
        <v>2.9870310459199309E-6</v>
      </c>
    </row>
    <row r="25" spans="1:21" x14ac:dyDescent="0.2">
      <c r="A25" s="33" t="s">
        <v>43</v>
      </c>
      <c r="B25" s="34" t="s">
        <v>42</v>
      </c>
      <c r="C25" s="33">
        <v>56016.708299999998</v>
      </c>
      <c r="D25" s="33">
        <v>2.9999999999999997E-4</v>
      </c>
      <c r="E25">
        <f t="shared" si="0"/>
        <v>2256.0045209186301</v>
      </c>
      <c r="F25">
        <f t="shared" si="1"/>
        <v>2256</v>
      </c>
      <c r="G25">
        <f t="shared" si="2"/>
        <v>2.8920000040670857E-3</v>
      </c>
      <c r="K25">
        <f t="shared" si="6"/>
        <v>2.8920000040670857E-3</v>
      </c>
      <c r="O25">
        <f t="shared" ca="1" si="3"/>
        <v>4.5895681104741147E-4</v>
      </c>
      <c r="Q25" s="2">
        <f t="shared" si="4"/>
        <v>40998.208299999998</v>
      </c>
      <c r="S25">
        <f t="shared" ca="1" si="5"/>
        <v>5.9196991790993713E-6</v>
      </c>
    </row>
    <row r="26" spans="1:21" x14ac:dyDescent="0.2">
      <c r="A26" s="35" t="s">
        <v>44</v>
      </c>
      <c r="B26" s="36" t="s">
        <v>42</v>
      </c>
      <c r="C26" s="37">
        <v>56312.8819</v>
      </c>
      <c r="D26" s="37">
        <v>2.0000000000000001E-4</v>
      </c>
      <c r="E26">
        <f t="shared" si="0"/>
        <v>2718.9978630374308</v>
      </c>
      <c r="F26">
        <f t="shared" si="1"/>
        <v>2719</v>
      </c>
      <c r="G26">
        <f t="shared" si="2"/>
        <v>-1.366999997117091E-3</v>
      </c>
      <c r="K26">
        <f t="shared" si="6"/>
        <v>-1.366999997117091E-3</v>
      </c>
      <c r="O26">
        <f t="shared" ca="1" si="3"/>
        <v>-3.4998598209733025E-4</v>
      </c>
      <c r="Q26" s="2">
        <f t="shared" si="4"/>
        <v>41294.3819</v>
      </c>
      <c r="S26">
        <f t="shared" ca="1" si="5"/>
        <v>1.034317506746614E-6</v>
      </c>
    </row>
    <row r="27" spans="1:21" x14ac:dyDescent="0.2">
      <c r="A27" s="5" t="s">
        <v>50</v>
      </c>
      <c r="C27" s="8">
        <v>59230.837</v>
      </c>
      <c r="D27" s="8">
        <v>2E-3</v>
      </c>
      <c r="E27">
        <f t="shared" si="0"/>
        <v>7280.4907979296358</v>
      </c>
      <c r="F27">
        <f t="shared" si="1"/>
        <v>7280.5</v>
      </c>
      <c r="G27">
        <f t="shared" si="2"/>
        <v>-5.8864999955403619E-3</v>
      </c>
      <c r="K27">
        <f t="shared" si="6"/>
        <v>-5.8864999955403619E-3</v>
      </c>
      <c r="O27">
        <f t="shared" ca="1" si="3"/>
        <v>-8.3197323123991446E-3</v>
      </c>
      <c r="Q27" s="2">
        <f t="shared" si="4"/>
        <v>44212.337</v>
      </c>
      <c r="S27">
        <f t="shared" ca="1" si="5"/>
        <v>5.9206195078059597E-6</v>
      </c>
    </row>
    <row r="28" spans="1:21" x14ac:dyDescent="0.2">
      <c r="A28" s="40" t="s">
        <v>55</v>
      </c>
      <c r="B28" s="41" t="s">
        <v>40</v>
      </c>
      <c r="C28" s="42">
        <v>59528.607499999998</v>
      </c>
      <c r="D28" s="40">
        <v>4.0000000000000002E-4</v>
      </c>
      <c r="E28">
        <f t="shared" ref="E28" si="7">+(C28-C$7)/C$8</f>
        <v>7745.9804937681065</v>
      </c>
      <c r="F28">
        <f t="shared" ref="F28" si="8">ROUND(2*E28,0)/2</f>
        <v>7746</v>
      </c>
      <c r="G28">
        <f t="shared" ref="G28" si="9">+C28-(C$7+F28*C$8)</f>
        <v>-1.2477999996917788E-2</v>
      </c>
      <c r="K28">
        <f t="shared" ref="K28" si="10">+G28</f>
        <v>-1.2477999996917788E-2</v>
      </c>
      <c r="O28">
        <f t="shared" ref="O28" ca="1" si="11">+C$11+C$12*$F28</f>
        <v>-9.1330430471915375E-3</v>
      </c>
      <c r="Q28" s="2">
        <f t="shared" ref="Q28" si="12">+C28-15018.5</f>
        <v>44510.107499999998</v>
      </c>
      <c r="S28">
        <f t="shared" ref="S28" ca="1" si="13">+(O28-G28)^2</f>
        <v>1.1188736995521941E-5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2023-01-17T04:10:37Z</dcterms:modified>
</cp:coreProperties>
</file>