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B93E761-9426-4D4E-A7A2-76329D5881E7}" xr6:coauthVersionLast="47" xr6:coauthVersionMax="47" xr10:uidLastSave="{00000000-0000-0000-0000-000000000000}"/>
  <bookViews>
    <workbookView xWindow="13500" yWindow="97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4" i="1" l="1"/>
  <c r="F134" i="1" s="1"/>
  <c r="G134" i="1" s="1"/>
  <c r="K134" i="1" s="1"/>
  <c r="Q134" i="1"/>
  <c r="Q130" i="1"/>
  <c r="Q131" i="1"/>
  <c r="Q132" i="1"/>
  <c r="Q133" i="1"/>
  <c r="Q129" i="1"/>
  <c r="Q122" i="1"/>
  <c r="Q128" i="1"/>
  <c r="D9" i="1"/>
  <c r="C9" i="1"/>
  <c r="Q127" i="1"/>
  <c r="Q126" i="1"/>
  <c r="Q125" i="1"/>
  <c r="Q124" i="1"/>
  <c r="Q123" i="1"/>
  <c r="Q71" i="1"/>
  <c r="Q70" i="1"/>
  <c r="Q78" i="1"/>
  <c r="Q77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12" i="2"/>
  <c r="C112" i="2"/>
  <c r="G54" i="2"/>
  <c r="C54" i="2"/>
  <c r="G53" i="2"/>
  <c r="C53" i="2"/>
  <c r="G52" i="2"/>
  <c r="C52" i="2"/>
  <c r="G51" i="2"/>
  <c r="C51" i="2"/>
  <c r="G50" i="2"/>
  <c r="C50" i="2"/>
  <c r="G111" i="2"/>
  <c r="C111" i="2"/>
  <c r="G49" i="2"/>
  <c r="C49" i="2"/>
  <c r="G110" i="2"/>
  <c r="C110" i="2"/>
  <c r="G109" i="2"/>
  <c r="C109" i="2"/>
  <c r="G48" i="2"/>
  <c r="C48" i="2"/>
  <c r="G108" i="2"/>
  <c r="C108" i="2"/>
  <c r="G47" i="2"/>
  <c r="C47" i="2"/>
  <c r="G46" i="2"/>
  <c r="C46" i="2"/>
  <c r="G107" i="2"/>
  <c r="C107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106" i="2"/>
  <c r="C106" i="2"/>
  <c r="G105" i="2"/>
  <c r="C105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04" i="2"/>
  <c r="C104" i="2"/>
  <c r="G103" i="2"/>
  <c r="C103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H112" i="2"/>
  <c r="B112" i="2"/>
  <c r="D112" i="2"/>
  <c r="A112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111" i="2"/>
  <c r="B111" i="2"/>
  <c r="D111" i="2"/>
  <c r="A111" i="2"/>
  <c r="H49" i="2"/>
  <c r="B49" i="2"/>
  <c r="D49" i="2"/>
  <c r="A49" i="2"/>
  <c r="H110" i="2"/>
  <c r="B110" i="2"/>
  <c r="D110" i="2"/>
  <c r="A110" i="2"/>
  <c r="H109" i="2"/>
  <c r="B109" i="2"/>
  <c r="D109" i="2"/>
  <c r="A109" i="2"/>
  <c r="H48" i="2"/>
  <c r="B48" i="2"/>
  <c r="D48" i="2"/>
  <c r="A48" i="2"/>
  <c r="H108" i="2"/>
  <c r="D108" i="2"/>
  <c r="B108" i="2"/>
  <c r="A108" i="2"/>
  <c r="H47" i="2"/>
  <c r="B47" i="2"/>
  <c r="D47" i="2"/>
  <c r="A47" i="2"/>
  <c r="H46" i="2"/>
  <c r="B46" i="2"/>
  <c r="D46" i="2"/>
  <c r="A46" i="2"/>
  <c r="H107" i="2"/>
  <c r="B107" i="2"/>
  <c r="D107" i="2"/>
  <c r="A107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106" i="2"/>
  <c r="B106" i="2"/>
  <c r="D106" i="2"/>
  <c r="A106" i="2"/>
  <c r="H105" i="2"/>
  <c r="B105" i="2"/>
  <c r="F105" i="2"/>
  <c r="D105" i="2"/>
  <c r="A105" i="2"/>
  <c r="H31" i="2"/>
  <c r="F31" i="2"/>
  <c r="D31" i="2"/>
  <c r="B31" i="2"/>
  <c r="A31" i="2"/>
  <c r="H30" i="2"/>
  <c r="B30" i="2"/>
  <c r="F30" i="2"/>
  <c r="D30" i="2"/>
  <c r="A30" i="2"/>
  <c r="H29" i="2"/>
  <c r="B29" i="2"/>
  <c r="F29" i="2"/>
  <c r="D29" i="2"/>
  <c r="A29" i="2"/>
  <c r="H28" i="2"/>
  <c r="B28" i="2"/>
  <c r="F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04" i="2"/>
  <c r="B104" i="2"/>
  <c r="D104" i="2"/>
  <c r="A104" i="2"/>
  <c r="H103" i="2"/>
  <c r="B103" i="2"/>
  <c r="D103" i="2"/>
  <c r="A103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Q72" i="1"/>
  <c r="Q121" i="1"/>
  <c r="Q104" i="1"/>
  <c r="Q107" i="1"/>
  <c r="Q108" i="1"/>
  <c r="Q109" i="1"/>
  <c r="Q110" i="1"/>
  <c r="Q120" i="1"/>
  <c r="Q119" i="1"/>
  <c r="F16" i="1"/>
  <c r="F17" i="1" s="1"/>
  <c r="C17" i="1"/>
  <c r="Q115" i="1"/>
  <c r="Q116" i="1"/>
  <c r="Q117" i="1"/>
  <c r="Q118" i="1"/>
  <c r="Q112" i="1"/>
  <c r="Q105" i="1"/>
  <c r="Q106" i="1"/>
  <c r="Q114" i="1"/>
  <c r="Q113" i="1"/>
  <c r="Q111" i="1"/>
  <c r="Q87" i="1"/>
  <c r="Q88" i="1"/>
  <c r="Q89" i="1"/>
  <c r="Q101" i="1"/>
  <c r="Q90" i="1"/>
  <c r="Q91" i="1"/>
  <c r="Q92" i="1"/>
  <c r="Q93" i="1"/>
  <c r="Q94" i="1"/>
  <c r="Q95" i="1"/>
  <c r="Q73" i="1"/>
  <c r="Q74" i="1"/>
  <c r="Q75" i="1"/>
  <c r="Q76" i="1"/>
  <c r="Q100" i="1"/>
  <c r="Q79" i="1"/>
  <c r="Q96" i="1"/>
  <c r="Q97" i="1"/>
  <c r="Q98" i="1"/>
  <c r="Q80" i="1"/>
  <c r="Q81" i="1"/>
  <c r="Q99" i="1"/>
  <c r="Q83" i="1"/>
  <c r="Q84" i="1"/>
  <c r="Q85" i="1"/>
  <c r="Q86" i="1"/>
  <c r="Q82" i="1"/>
  <c r="C7" i="1"/>
  <c r="C8" i="1"/>
  <c r="E121" i="1"/>
  <c r="Q103" i="1"/>
  <c r="Q102" i="1"/>
  <c r="Q69" i="1"/>
  <c r="E75" i="1"/>
  <c r="F75" i="1"/>
  <c r="G75" i="1"/>
  <c r="J75" i="1"/>
  <c r="E48" i="1"/>
  <c r="F48" i="1"/>
  <c r="G48" i="1"/>
  <c r="H48" i="1"/>
  <c r="E117" i="1"/>
  <c r="F117" i="1"/>
  <c r="E107" i="1"/>
  <c r="F107" i="1"/>
  <c r="G107" i="1"/>
  <c r="K107" i="1"/>
  <c r="E115" i="1"/>
  <c r="F115" i="1"/>
  <c r="E101" i="1"/>
  <c r="F101" i="1"/>
  <c r="U101" i="1"/>
  <c r="E67" i="1"/>
  <c r="F67" i="1"/>
  <c r="G67" i="1"/>
  <c r="H67" i="1"/>
  <c r="E69" i="1"/>
  <c r="E93" i="1"/>
  <c r="F93" i="1"/>
  <c r="G93" i="1"/>
  <c r="I93" i="1"/>
  <c r="E110" i="1"/>
  <c r="E119" i="1"/>
  <c r="F119" i="1"/>
  <c r="G119" i="1"/>
  <c r="K119" i="1"/>
  <c r="E128" i="1"/>
  <c r="E22" i="1"/>
  <c r="E46" i="1"/>
  <c r="F46" i="1"/>
  <c r="G46" i="1"/>
  <c r="H46" i="1"/>
  <c r="E62" i="1"/>
  <c r="F62" i="1"/>
  <c r="G62" i="1"/>
  <c r="H62" i="1"/>
  <c r="E73" i="1"/>
  <c r="F73" i="1"/>
  <c r="G73" i="1"/>
  <c r="J73" i="1"/>
  <c r="E84" i="1"/>
  <c r="E123" i="1"/>
  <c r="F123" i="1"/>
  <c r="G123" i="1"/>
  <c r="K123" i="1"/>
  <c r="E25" i="1"/>
  <c r="F25" i="1"/>
  <c r="G25" i="1"/>
  <c r="H25" i="1"/>
  <c r="E41" i="1"/>
  <c r="F41" i="1"/>
  <c r="G41" i="1"/>
  <c r="H41" i="1"/>
  <c r="E49" i="1"/>
  <c r="F49" i="1"/>
  <c r="E99" i="1"/>
  <c r="E28" i="2"/>
  <c r="E108" i="1"/>
  <c r="E116" i="1"/>
  <c r="E70" i="1"/>
  <c r="F70" i="1"/>
  <c r="G70" i="1"/>
  <c r="J70" i="1"/>
  <c r="E28" i="1"/>
  <c r="F28" i="1"/>
  <c r="G28" i="1"/>
  <c r="H28" i="1"/>
  <c r="E36" i="1"/>
  <c r="F36" i="1"/>
  <c r="G36" i="1"/>
  <c r="H36" i="1"/>
  <c r="E44" i="1"/>
  <c r="F44" i="1"/>
  <c r="G44" i="1"/>
  <c r="H44" i="1"/>
  <c r="E60" i="1"/>
  <c r="F60" i="1"/>
  <c r="E68" i="1"/>
  <c r="F68" i="1"/>
  <c r="G68" i="1"/>
  <c r="H68" i="1"/>
  <c r="E87" i="1"/>
  <c r="F87" i="1"/>
  <c r="U87" i="1"/>
  <c r="E103" i="1"/>
  <c r="E32" i="2"/>
  <c r="E120" i="1"/>
  <c r="F120" i="1"/>
  <c r="G120" i="1"/>
  <c r="K120" i="1"/>
  <c r="E23" i="1"/>
  <c r="F23" i="1"/>
  <c r="G23" i="1"/>
  <c r="H23" i="1"/>
  <c r="E31" i="1"/>
  <c r="F31" i="1"/>
  <c r="G31" i="1"/>
  <c r="H31" i="1"/>
  <c r="E39" i="1"/>
  <c r="E73" i="2"/>
  <c r="F39" i="1"/>
  <c r="G39" i="1"/>
  <c r="H39" i="1"/>
  <c r="E47" i="1"/>
  <c r="F47" i="1"/>
  <c r="G47" i="1"/>
  <c r="H47" i="1"/>
  <c r="E55" i="1"/>
  <c r="F55" i="1"/>
  <c r="E63" i="1"/>
  <c r="F63" i="1"/>
  <c r="G63" i="1"/>
  <c r="H63" i="1"/>
  <c r="E74" i="1"/>
  <c r="F74" i="1"/>
  <c r="G74" i="1"/>
  <c r="J74" i="1"/>
  <c r="E85" i="1"/>
  <c r="F85" i="1"/>
  <c r="G85" i="1"/>
  <c r="I85" i="1"/>
  <c r="E122" i="1"/>
  <c r="F122" i="1"/>
  <c r="G122" i="1"/>
  <c r="K122" i="1"/>
  <c r="E97" i="1"/>
  <c r="F97" i="1"/>
  <c r="G97" i="1"/>
  <c r="I97" i="1"/>
  <c r="E106" i="1"/>
  <c r="F106" i="1"/>
  <c r="G106" i="1"/>
  <c r="K106" i="1"/>
  <c r="E114" i="1"/>
  <c r="F114" i="1"/>
  <c r="G114" i="1"/>
  <c r="K114" i="1"/>
  <c r="E124" i="1"/>
  <c r="F124" i="1"/>
  <c r="G124" i="1"/>
  <c r="K124" i="1"/>
  <c r="E26" i="1"/>
  <c r="E34" i="1"/>
  <c r="E42" i="1"/>
  <c r="E58" i="1"/>
  <c r="G60" i="1"/>
  <c r="H60" i="1"/>
  <c r="E66" i="1"/>
  <c r="E71" i="1"/>
  <c r="E72" i="1"/>
  <c r="F72" i="1"/>
  <c r="G72" i="1"/>
  <c r="K72" i="1"/>
  <c r="E77" i="1"/>
  <c r="E103" i="2"/>
  <c r="F77" i="1"/>
  <c r="G77" i="1"/>
  <c r="J77" i="1"/>
  <c r="E82" i="2"/>
  <c r="E48" i="2"/>
  <c r="E86" i="1"/>
  <c r="F86" i="1"/>
  <c r="G86" i="1"/>
  <c r="I86" i="1"/>
  <c r="E64" i="1"/>
  <c r="F64" i="1"/>
  <c r="G64" i="1"/>
  <c r="H64" i="1"/>
  <c r="E32" i="1"/>
  <c r="F32" i="1"/>
  <c r="E104" i="1"/>
  <c r="E94" i="2"/>
  <c r="E105" i="2"/>
  <c r="E101" i="2"/>
  <c r="E18" i="2"/>
  <c r="E107" i="2"/>
  <c r="E53" i="1"/>
  <c r="E21" i="1"/>
  <c r="E127" i="1"/>
  <c r="F127" i="1"/>
  <c r="G127" i="1"/>
  <c r="K127" i="1"/>
  <c r="E92" i="1"/>
  <c r="E17" i="2"/>
  <c r="F92" i="1"/>
  <c r="E57" i="2"/>
  <c r="E42" i="2"/>
  <c r="E40" i="1"/>
  <c r="F40" i="1"/>
  <c r="G40" i="1"/>
  <c r="H40" i="1"/>
  <c r="E112" i="1"/>
  <c r="E66" i="2"/>
  <c r="E52" i="2"/>
  <c r="E47" i="2"/>
  <c r="E70" i="2"/>
  <c r="E75" i="2"/>
  <c r="E102" i="2"/>
  <c r="E31" i="2"/>
  <c r="E43" i="2"/>
  <c r="E51" i="2"/>
  <c r="E83" i="1"/>
  <c r="F83" i="1"/>
  <c r="G83" i="1"/>
  <c r="I83" i="1"/>
  <c r="E61" i="1"/>
  <c r="E29" i="1"/>
  <c r="E100" i="1"/>
  <c r="E21" i="2"/>
  <c r="F116" i="1"/>
  <c r="G116" i="1"/>
  <c r="K116" i="1"/>
  <c r="E50" i="2"/>
  <c r="F69" i="1"/>
  <c r="G69" i="1"/>
  <c r="H69" i="1"/>
  <c r="E11" i="2"/>
  <c r="E12" i="2"/>
  <c r="E111" i="2"/>
  <c r="F21" i="1"/>
  <c r="G21" i="1"/>
  <c r="H21" i="1"/>
  <c r="E55" i="2"/>
  <c r="F26" i="1"/>
  <c r="U26" i="1"/>
  <c r="H26" i="1"/>
  <c r="E60" i="2"/>
  <c r="F110" i="1"/>
  <c r="G110" i="1"/>
  <c r="K110" i="1"/>
  <c r="E46" i="2"/>
  <c r="E38" i="2"/>
  <c r="F104" i="1"/>
  <c r="G104" i="1"/>
  <c r="J104" i="1"/>
  <c r="E36" i="2"/>
  <c r="F71" i="1"/>
  <c r="G71" i="1"/>
  <c r="J71" i="1"/>
  <c r="E106" i="2"/>
  <c r="E76" i="2"/>
  <c r="F42" i="1"/>
  <c r="G42" i="1"/>
  <c r="H42" i="1"/>
  <c r="F108" i="1"/>
  <c r="G108" i="1"/>
  <c r="K108" i="1"/>
  <c r="E44" i="2"/>
  <c r="F22" i="1"/>
  <c r="G22" i="1"/>
  <c r="H22" i="1"/>
  <c r="E56" i="2"/>
  <c r="E89" i="2"/>
  <c r="E59" i="2"/>
  <c r="F112" i="1"/>
  <c r="G112" i="1"/>
  <c r="K112" i="1"/>
  <c r="E39" i="2"/>
  <c r="E97" i="2"/>
  <c r="E63" i="2"/>
  <c r="F29" i="1"/>
  <c r="G29" i="1"/>
  <c r="H29" i="1"/>
  <c r="E74" i="2"/>
  <c r="E96" i="2"/>
  <c r="F84" i="1"/>
  <c r="G84" i="1"/>
  <c r="I84" i="1"/>
  <c r="E30" i="2"/>
  <c r="F128" i="1"/>
  <c r="G128" i="1"/>
  <c r="K128" i="1"/>
  <c r="E112" i="2"/>
  <c r="E62" i="2"/>
  <c r="E65" i="2"/>
  <c r="E34" i="2"/>
  <c r="E83" i="2"/>
  <c r="F66" i="1"/>
  <c r="G66" i="1"/>
  <c r="H66" i="1"/>
  <c r="E100" i="2"/>
  <c r="F34" i="1"/>
  <c r="G34" i="1"/>
  <c r="H34" i="1"/>
  <c r="E68" i="2"/>
  <c r="E29" i="2"/>
  <c r="E53" i="2"/>
  <c r="F58" i="1"/>
  <c r="G58" i="1"/>
  <c r="H58" i="1"/>
  <c r="E92" i="2"/>
  <c r="F53" i="1"/>
  <c r="G53" i="1"/>
  <c r="H53" i="1"/>
  <c r="E87" i="2"/>
  <c r="F61" i="1"/>
  <c r="G61" i="1"/>
  <c r="H61" i="1"/>
  <c r="E95" i="2"/>
  <c r="E98" i="2"/>
  <c r="E78" i="2"/>
  <c r="E24" i="2"/>
  <c r="E108" i="2"/>
  <c r="F121" i="1"/>
  <c r="E54" i="2"/>
  <c r="F103" i="1"/>
  <c r="G103" i="1"/>
  <c r="K103" i="1"/>
  <c r="F100" i="1"/>
  <c r="G100" i="1"/>
  <c r="N100" i="1"/>
  <c r="F99" i="1"/>
  <c r="G99" i="1"/>
  <c r="I99" i="1"/>
  <c r="E130" i="1"/>
  <c r="F130" i="1"/>
  <c r="G130" i="1"/>
  <c r="K130" i="1"/>
  <c r="G133" i="1"/>
  <c r="K133" i="1"/>
  <c r="E24" i="1"/>
  <c r="G121" i="1"/>
  <c r="K121" i="1"/>
  <c r="G55" i="1"/>
  <c r="H55" i="1"/>
  <c r="E90" i="1"/>
  <c r="E43" i="1"/>
  <c r="E59" i="1"/>
  <c r="E30" i="1"/>
  <c r="E105" i="1"/>
  <c r="G115" i="1"/>
  <c r="K115" i="1"/>
  <c r="E118" i="1"/>
  <c r="E33" i="1"/>
  <c r="G49" i="1"/>
  <c r="H49" i="1"/>
  <c r="E65" i="1"/>
  <c r="E82" i="1"/>
  <c r="E132" i="1"/>
  <c r="F132" i="1"/>
  <c r="G132" i="1"/>
  <c r="K132" i="1"/>
  <c r="E131" i="1"/>
  <c r="F131" i="1"/>
  <c r="G131" i="1"/>
  <c r="K131" i="1"/>
  <c r="E133" i="1"/>
  <c r="F133" i="1"/>
  <c r="E81" i="2"/>
  <c r="E94" i="1"/>
  <c r="E126" i="1"/>
  <c r="E76" i="1"/>
  <c r="F76" i="1"/>
  <c r="G76" i="1"/>
  <c r="J76" i="1"/>
  <c r="E96" i="1"/>
  <c r="E38" i="1"/>
  <c r="E129" i="1"/>
  <c r="F129" i="1"/>
  <c r="G129" i="1"/>
  <c r="K129" i="1"/>
  <c r="E35" i="1"/>
  <c r="E125" i="1"/>
  <c r="E98" i="1"/>
  <c r="E89" i="1"/>
  <c r="E37" i="1"/>
  <c r="E95" i="1"/>
  <c r="E109" i="1"/>
  <c r="E88" i="1"/>
  <c r="E111" i="1"/>
  <c r="E52" i="1"/>
  <c r="E91" i="1"/>
  <c r="E57" i="1"/>
  <c r="E113" i="1"/>
  <c r="E54" i="1"/>
  <c r="E45" i="1"/>
  <c r="E80" i="2"/>
  <c r="E79" i="1"/>
  <c r="E50" i="1"/>
  <c r="E81" i="1"/>
  <c r="E78" i="1"/>
  <c r="G32" i="1"/>
  <c r="H32" i="1"/>
  <c r="E102" i="1"/>
  <c r="E27" i="1"/>
  <c r="G117" i="1"/>
  <c r="K117" i="1"/>
  <c r="G92" i="1"/>
  <c r="I92" i="1"/>
  <c r="E56" i="1"/>
  <c r="E80" i="1"/>
  <c r="E51" i="1"/>
  <c r="F33" i="1"/>
  <c r="G33" i="1"/>
  <c r="H33" i="1"/>
  <c r="E67" i="2"/>
  <c r="F102" i="1"/>
  <c r="G102" i="1"/>
  <c r="J102" i="1"/>
  <c r="E33" i="2"/>
  <c r="F54" i="1"/>
  <c r="G54" i="1"/>
  <c r="H54" i="1"/>
  <c r="E88" i="2"/>
  <c r="E20" i="2"/>
  <c r="F95" i="1"/>
  <c r="G95" i="1"/>
  <c r="I95" i="1"/>
  <c r="E23" i="2"/>
  <c r="F96" i="1"/>
  <c r="G96" i="1"/>
  <c r="I96" i="1"/>
  <c r="E58" i="2"/>
  <c r="F24" i="1"/>
  <c r="G24" i="1"/>
  <c r="H24" i="1"/>
  <c r="E40" i="2"/>
  <c r="F105" i="1"/>
  <c r="G105" i="1"/>
  <c r="K105" i="1"/>
  <c r="E71" i="2"/>
  <c r="F37" i="1"/>
  <c r="G37" i="1"/>
  <c r="H37" i="1"/>
  <c r="F78" i="1"/>
  <c r="G78" i="1"/>
  <c r="J78" i="1"/>
  <c r="E104" i="2"/>
  <c r="E14" i="2"/>
  <c r="F89" i="1"/>
  <c r="U89" i="1"/>
  <c r="E64" i="2"/>
  <c r="F30" i="1"/>
  <c r="G30" i="1"/>
  <c r="H30" i="1"/>
  <c r="E26" i="2"/>
  <c r="F80" i="1"/>
  <c r="G80" i="1"/>
  <c r="J80" i="1"/>
  <c r="F81" i="1"/>
  <c r="G81" i="1"/>
  <c r="J81" i="1"/>
  <c r="E27" i="2"/>
  <c r="F91" i="1"/>
  <c r="G91" i="1"/>
  <c r="I91" i="1"/>
  <c r="E16" i="2"/>
  <c r="E25" i="2"/>
  <c r="F98" i="1"/>
  <c r="G98" i="1"/>
  <c r="I98" i="1"/>
  <c r="F94" i="1"/>
  <c r="G94" i="1"/>
  <c r="I94" i="1"/>
  <c r="E19" i="2"/>
  <c r="E35" i="2"/>
  <c r="F82" i="1"/>
  <c r="G82" i="1"/>
  <c r="I82" i="1"/>
  <c r="F59" i="1"/>
  <c r="G59" i="1"/>
  <c r="H59" i="1"/>
  <c r="E93" i="2"/>
  <c r="F65" i="1"/>
  <c r="G65" i="1"/>
  <c r="H65" i="1"/>
  <c r="E99" i="2"/>
  <c r="E77" i="2"/>
  <c r="F43" i="1"/>
  <c r="G43" i="1"/>
  <c r="H43" i="1"/>
  <c r="E37" i="2"/>
  <c r="F113" i="1"/>
  <c r="G113" i="1"/>
  <c r="J113" i="1"/>
  <c r="F51" i="1"/>
  <c r="G51" i="1"/>
  <c r="H51" i="1"/>
  <c r="E85" i="2"/>
  <c r="F57" i="1"/>
  <c r="G57" i="1"/>
  <c r="H57" i="1"/>
  <c r="E91" i="2"/>
  <c r="F126" i="1"/>
  <c r="G126" i="1"/>
  <c r="K126" i="1"/>
  <c r="E110" i="2"/>
  <c r="F56" i="1"/>
  <c r="G56" i="1"/>
  <c r="H56" i="1"/>
  <c r="E90" i="2"/>
  <c r="E84" i="2"/>
  <c r="F50" i="1"/>
  <c r="G50" i="1"/>
  <c r="H50" i="1"/>
  <c r="F52" i="1"/>
  <c r="G52" i="1"/>
  <c r="H52" i="1"/>
  <c r="E86" i="2"/>
  <c r="F125" i="1"/>
  <c r="G125" i="1"/>
  <c r="K125" i="1"/>
  <c r="E109" i="2"/>
  <c r="F79" i="1"/>
  <c r="G79" i="1"/>
  <c r="J79" i="1"/>
  <c r="E22" i="2"/>
  <c r="F111" i="1"/>
  <c r="G111" i="1"/>
  <c r="K111" i="1"/>
  <c r="E41" i="2"/>
  <c r="F35" i="1"/>
  <c r="G35" i="1"/>
  <c r="H35" i="1"/>
  <c r="E69" i="2"/>
  <c r="F90" i="1"/>
  <c r="G90" i="1"/>
  <c r="I90" i="1"/>
  <c r="E15" i="2"/>
  <c r="F88" i="1"/>
  <c r="E13" i="2"/>
  <c r="F27" i="1"/>
  <c r="G27" i="1"/>
  <c r="H27" i="1"/>
  <c r="E61" i="2"/>
  <c r="E79" i="2"/>
  <c r="F45" i="1"/>
  <c r="G45" i="1"/>
  <c r="H45" i="1"/>
  <c r="F109" i="1"/>
  <c r="G109" i="1"/>
  <c r="K109" i="1"/>
  <c r="E45" i="2"/>
  <c r="F38" i="1"/>
  <c r="G38" i="1"/>
  <c r="H38" i="1"/>
  <c r="E72" i="2"/>
  <c r="F118" i="1"/>
  <c r="U119" i="1"/>
  <c r="E49" i="2"/>
  <c r="U88" i="1"/>
  <c r="C11" i="1"/>
  <c r="C12" i="1"/>
  <c r="O134" i="1" l="1"/>
  <c r="C16" i="1"/>
  <c r="D18" i="1" s="1"/>
  <c r="O85" i="1"/>
  <c r="O130" i="1"/>
  <c r="O128" i="1"/>
  <c r="O81" i="1"/>
  <c r="O116" i="1"/>
  <c r="O114" i="1"/>
  <c r="O103" i="1"/>
  <c r="O104" i="1"/>
  <c r="O86" i="1"/>
  <c r="O132" i="1"/>
  <c r="O80" i="1"/>
  <c r="O99" i="1"/>
  <c r="O127" i="1"/>
  <c r="O102" i="1"/>
  <c r="O110" i="1"/>
  <c r="O115" i="1"/>
  <c r="O108" i="1"/>
  <c r="O124" i="1"/>
  <c r="C15" i="1"/>
  <c r="O84" i="1"/>
  <c r="O82" i="1"/>
  <c r="O113" i="1"/>
  <c r="O105" i="1"/>
  <c r="O123" i="1"/>
  <c r="O129" i="1"/>
  <c r="O83" i="1"/>
  <c r="O70" i="1"/>
  <c r="O125" i="1"/>
  <c r="O72" i="1"/>
  <c r="O120" i="1"/>
  <c r="O122" i="1"/>
  <c r="O131" i="1"/>
  <c r="O109" i="1"/>
  <c r="O111" i="1"/>
  <c r="O106" i="1"/>
  <c r="O133" i="1"/>
  <c r="O118" i="1"/>
  <c r="O112" i="1"/>
  <c r="O126" i="1"/>
  <c r="O119" i="1"/>
  <c r="O71" i="1"/>
  <c r="O107" i="1"/>
  <c r="O117" i="1"/>
  <c r="O121" i="1"/>
  <c r="C18" i="1" l="1"/>
  <c r="F18" i="1"/>
  <c r="F19" i="1" s="1"/>
</calcChain>
</file>

<file path=xl/sharedStrings.xml><?xml version="1.0" encoding="utf-8"?>
<sst xmlns="http://schemas.openxmlformats.org/spreadsheetml/2006/main" count="1109" uniqueCount="495">
  <si>
    <t>IBVS 6244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</si>
  <si>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</si>
  <si>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</si>
  <si>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</si>
  <si>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</si>
  <si>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</si>
  <si>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</si>
  <si>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</si>
  <si>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</si>
  <si>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</si>
  <si>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</si>
  <si>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</si>
  <si>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</si>
  <si>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</si>
  <si>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</si>
  <si>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</si>
  <si>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</si>
  <si>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</si>
  <si>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</si>
  <si>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</si>
  <si>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</si>
  <si>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</si>
  <si>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</si>
  <si>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</si>
  <si>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</si>
  <si>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</si>
  <si>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</si>
  <si>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</si>
  <si>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</si>
  <si>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</si>
  <si>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4888</t>
  </si>
  <si>
    <t>I</t>
  </si>
  <si>
    <t>IBVS 4711</t>
  </si>
  <si>
    <t>Diethelm R</t>
  </si>
  <si>
    <t>BBSAG Bull.21</t>
  </si>
  <si>
    <t>B</t>
  </si>
  <si>
    <t>v</t>
  </si>
  <si>
    <t>BBSAG Bull.27</t>
  </si>
  <si>
    <t>IBVS 1838</t>
  </si>
  <si>
    <t>K</t>
  </si>
  <si>
    <t>Peter H</t>
  </si>
  <si>
    <t>BBSAG Bull.88</t>
  </si>
  <si>
    <t>Paschke A</t>
  </si>
  <si>
    <t>BBSAG Bull.92</t>
  </si>
  <si>
    <t>BBSAG Bull.94</t>
  </si>
  <si>
    <t>phe</t>
  </si>
  <si>
    <t>V</t>
  </si>
  <si>
    <t>BAV-M 56</t>
  </si>
  <si>
    <t>BRNO 31</t>
  </si>
  <si>
    <t>BAV-M 68</t>
  </si>
  <si>
    <t>BBSAG Bull.97</t>
  </si>
  <si>
    <t>BBSAG Bull.98</t>
  </si>
  <si>
    <t>BBSAG Bull.103</t>
  </si>
  <si>
    <t>BBSAG Bull.112</t>
  </si>
  <si>
    <t>ccd</t>
  </si>
  <si>
    <t>BBSAG Bull.118</t>
  </si>
  <si>
    <t>R.Diethelm</t>
  </si>
  <si>
    <t>BBSAG 119</t>
  </si>
  <si>
    <t>II</t>
  </si>
  <si>
    <t>IBVS 5583</t>
  </si>
  <si>
    <t>IBVS 5643</t>
  </si>
  <si>
    <t># of data points:</t>
  </si>
  <si>
    <t>UX Leo / GSC 04928-01124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</si>
  <si>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</si>
  <si>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</si>
  <si>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</si>
  <si>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</si>
  <si>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</si>
  <si>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</si>
  <si>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</si>
  <si>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5616</t>
  </si>
  <si>
    <t>IBVS 5577</t>
  </si>
  <si>
    <t>IBVS 5843</t>
  </si>
  <si>
    <t>IBVS 5893</t>
  </si>
  <si>
    <t>IBVS 5894</t>
  </si>
  <si>
    <t>Add cycle</t>
  </si>
  <si>
    <t>Old Cycle</t>
  </si>
  <si>
    <t>IBVS 5988</t>
  </si>
  <si>
    <t>IBVS 5296</t>
  </si>
  <si>
    <t>.0004</t>
  </si>
  <si>
    <t>IBVS 5992</t>
  </si>
  <si>
    <t>2013JAVSO..41..122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</si>
  <si>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</si>
  <si>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</si>
  <si>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</si>
  <si>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</si>
  <si>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</si>
  <si>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</si>
  <si>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</si>
  <si>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</si>
  <si>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</si>
  <si>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</si>
  <si>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</si>
  <si>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</si>
  <si>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</si>
  <si>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2426417.388 </t>
  </si>
  <si>
    <t> 16.03.1931 21:18 </t>
  </si>
  <si>
    <t>P </t>
  </si>
  <si>
    <t> Gessner &amp; Wenzel </t>
  </si>
  <si>
    <t> MVS 434 </t>
  </si>
  <si>
    <t>2426419.396 </t>
  </si>
  <si>
    <t> 18.03.1931 21:30 </t>
  </si>
  <si>
    <t> -0.010 </t>
  </si>
  <si>
    <t>2427534.370 </t>
  </si>
  <si>
    <t> 06.04.1934 20:52 </t>
  </si>
  <si>
    <t> 0.025 </t>
  </si>
  <si>
    <t>2427539.372 </t>
  </si>
  <si>
    <t> 11.04.1934 20:55 </t>
  </si>
  <si>
    <t> -0.009 </t>
  </si>
  <si>
    <t>2427543.386 </t>
  </si>
  <si>
    <t> 15.04.1934 21:15 </t>
  </si>
  <si>
    <t> -0.024 </t>
  </si>
  <si>
    <t>2427562.279 </t>
  </si>
  <si>
    <t> 04.05.1934 18:41 </t>
  </si>
  <si>
    <t> -0.267 </t>
  </si>
  <si>
    <t>V </t>
  </si>
  <si>
    <t> S.M.Seliwanow </t>
  </si>
  <si>
    <t> PZ 5.112 </t>
  </si>
  <si>
    <t>2427841.524 </t>
  </si>
  <si>
    <t> 08.02.1935 00:34 </t>
  </si>
  <si>
    <t>2427842.532 </t>
  </si>
  <si>
    <t> 09.02.1935 00:46 </t>
  </si>
  <si>
    <t> -0.008 </t>
  </si>
  <si>
    <t>2428246.433 </t>
  </si>
  <si>
    <t> 18.03.1936 22:23 </t>
  </si>
  <si>
    <t> 0.017 </t>
  </si>
  <si>
    <t>2428247.390 </t>
  </si>
  <si>
    <t> 19.03.1936 21:21 </t>
  </si>
  <si>
    <t> -0.033 </t>
  </si>
  <si>
    <t>2428248.408 </t>
  </si>
  <si>
    <t> 20.03.1936 21:47 </t>
  </si>
  <si>
    <t> -0.022 </t>
  </si>
  <si>
    <t>2428249.435 </t>
  </si>
  <si>
    <t> 21.03.1936 22:26 </t>
  </si>
  <si>
    <t> -0.002 </t>
  </si>
  <si>
    <t>2428250.397 </t>
  </si>
  <si>
    <t> 22.03.1936 21:31 </t>
  </si>
  <si>
    <t> -0.048 </t>
  </si>
  <si>
    <t>2428953.456 </t>
  </si>
  <si>
    <t> 23.02.1938 22:56 </t>
  </si>
  <si>
    <t> 0.005 </t>
  </si>
  <si>
    <t>2429365.390 </t>
  </si>
  <si>
    <t> 11.04.1939 21:21 </t>
  </si>
  <si>
    <t> 0.006 </t>
  </si>
  <si>
    <t>2429369.418 </t>
  </si>
  <si>
    <t> 15.04.1939 22:01 </t>
  </si>
  <si>
    <t>2429670.529 </t>
  </si>
  <si>
    <t> 11.02.1940 00:41 </t>
  </si>
  <si>
    <t> -0.028 </t>
  </si>
  <si>
    <t>2430071.402 </t>
  </si>
  <si>
    <t> 17.03.1941 21:38 </t>
  </si>
  <si>
    <t>2430072.426 </t>
  </si>
  <si>
    <t> 18.03.1941 22:13 </t>
  </si>
  <si>
    <t> 0.007 </t>
  </si>
  <si>
    <t>2430077.446 </t>
  </si>
  <si>
    <t> 23.03.1941 22:42 </t>
  </si>
  <si>
    <t>2430375.577 </t>
  </si>
  <si>
    <t> 16.01.1942 01:50 </t>
  </si>
  <si>
    <t> -0.000 </t>
  </si>
  <si>
    <t>2430376.599 </t>
  </si>
  <si>
    <t> 17.01.1942 02:22 </t>
  </si>
  <si>
    <t> 0.014 </t>
  </si>
  <si>
    <t>2430377.590 </t>
  </si>
  <si>
    <t> 18.01.1942 02:09 </t>
  </si>
  <si>
    <t>2430382.650 </t>
  </si>
  <si>
    <t> 23.01.1942 03:36 </t>
  </si>
  <si>
    <t> 0.022 </t>
  </si>
  <si>
    <t>2430486.385 </t>
  </si>
  <si>
    <t> 06.05.1942 21:14 </t>
  </si>
  <si>
    <t> 0.019 </t>
  </si>
  <si>
    <t>2430784.439 </t>
  </si>
  <si>
    <t> 28.02.1943 22:32 </t>
  </si>
  <si>
    <t> -0.050 </t>
  </si>
  <si>
    <t>2430787.495 </t>
  </si>
  <si>
    <t> 03.03.1943 23:52 </t>
  </si>
  <si>
    <t> -0.016 </t>
  </si>
  <si>
    <t>2430791.518 </t>
  </si>
  <si>
    <t> 08.03.1943 00:25 </t>
  </si>
  <si>
    <t> -0.021 </t>
  </si>
  <si>
    <t>2431607.344 </t>
  </si>
  <si>
    <t> 31.05.1945 20:15 </t>
  </si>
  <si>
    <t> -0.005 </t>
  </si>
  <si>
    <t> W.Zessewitsch </t>
  </si>
  <si>
    <t> IODE 4.2.170 </t>
  </si>
  <si>
    <t>2432202.558 </t>
  </si>
  <si>
    <t> 17.01.1947 01:23 </t>
  </si>
  <si>
    <t> -0.029 </t>
  </si>
  <si>
    <t>2432613.501 </t>
  </si>
  <si>
    <t> 03.03.1948 00:01 </t>
  </si>
  <si>
    <t> -0.013 </t>
  </si>
  <si>
    <t>2432613.517 </t>
  </si>
  <si>
    <t> 03.03.1948 00:24 </t>
  </si>
  <si>
    <t> 0.003 </t>
  </si>
  <si>
    <t> R.Szafraniec </t>
  </si>
  <si>
    <t> AAC 4.114 </t>
  </si>
  <si>
    <t>2432615.529 </t>
  </si>
  <si>
    <t> 05.03.1948 00:41 </t>
  </si>
  <si>
    <t> 0.001 </t>
  </si>
  <si>
    <t> AA 10.103 </t>
  </si>
  <si>
    <t>2433330.578 </t>
  </si>
  <si>
    <t> 18.02.1950 01:52 </t>
  </si>
  <si>
    <t> -0.042 </t>
  </si>
  <si>
    <t>2433739.54 </t>
  </si>
  <si>
    <t> 03.04.1951 00:57 </t>
  </si>
  <si>
    <t> 0.01 </t>
  </si>
  <si>
    <t> SAC 23.85 </t>
  </si>
  <si>
    <t>2434130.318 </t>
  </si>
  <si>
    <t> 27.04.1952 19:37 </t>
  </si>
  <si>
    <t>2434133.328 </t>
  </si>
  <si>
    <t> 30.04.1952 19:52 </t>
  </si>
  <si>
    <t> AAC 5.52 </t>
  </si>
  <si>
    <t>2435134.481 </t>
  </si>
  <si>
    <t> 26.01.1955 23:32 </t>
  </si>
  <si>
    <t> 0.016 </t>
  </si>
  <si>
    <t>2435135.497 </t>
  </si>
  <si>
    <t> 27.01.1955 23:55 </t>
  </si>
  <si>
    <t>2435136.503 </t>
  </si>
  <si>
    <t> 29.01.1955 00:04 </t>
  </si>
  <si>
    <t> 0.024 </t>
  </si>
  <si>
    <t>2435550.434 </t>
  </si>
  <si>
    <t> 17.03.1956 22:24 </t>
  </si>
  <si>
    <t> AA 7.188 </t>
  </si>
  <si>
    <t>2435551.438 </t>
  </si>
  <si>
    <t> 18.03.1956 22:30 </t>
  </si>
  <si>
    <t> 0.004 </t>
  </si>
  <si>
    <t>2435552.449 </t>
  </si>
  <si>
    <t> 19.03.1956 22:46 </t>
  </si>
  <si>
    <t>2436256.475 </t>
  </si>
  <si>
    <t> 21.02.1958 23:24 </t>
  </si>
  <si>
    <t> 0.020 </t>
  </si>
  <si>
    <t> AA 10.69 </t>
  </si>
  <si>
    <t>2436673.422 </t>
  </si>
  <si>
    <t> 14.04.1959 22:07 </t>
  </si>
  <si>
    <t>2436674.428 </t>
  </si>
  <si>
    <t> 15.04.1959 22:16 </t>
  </si>
  <si>
    <t>2436969.529 </t>
  </si>
  <si>
    <t> 05.02.1960 00:41 </t>
  </si>
  <si>
    <t> -0.004 </t>
  </si>
  <si>
    <t> AA 13.79 </t>
  </si>
  <si>
    <t>2437375.424 </t>
  </si>
  <si>
    <t> 16.03.1961 22:10 </t>
  </si>
  <si>
    <t> P.Ahnert </t>
  </si>
  <si>
    <t> MVS 568 </t>
  </si>
  <si>
    <t>2437376.430 </t>
  </si>
  <si>
    <t> 17.03.1961 22:19 </t>
  </si>
  <si>
    <t> 0.000 </t>
  </si>
  <si>
    <t>2442460.420 </t>
  </si>
  <si>
    <t> 16.02.1975 22:04 </t>
  </si>
  <si>
    <t> -0.214 </t>
  </si>
  <si>
    <t> R.Diethelm </t>
  </si>
  <si>
    <t> BBS 21 </t>
  </si>
  <si>
    <t>2442464.421 </t>
  </si>
  <si>
    <t> 20.02.1975 22:06 </t>
  </si>
  <si>
    <t> -0.242 </t>
  </si>
  <si>
    <t>2442869.319 </t>
  </si>
  <si>
    <t> 31.03.1976 19:39 </t>
  </si>
  <si>
    <t> -0.227 </t>
  </si>
  <si>
    <t> BBS 27 </t>
  </si>
  <si>
    <t>2447234.436 </t>
  </si>
  <si>
    <t> 13.03.1988 22:27 </t>
  </si>
  <si>
    <t> -0.194 </t>
  </si>
  <si>
    <t> H.Peter </t>
  </si>
  <si>
    <t> BBS 88 </t>
  </si>
  <si>
    <t>2447235.452 </t>
  </si>
  <si>
    <t> 14.03.1988 22:50 </t>
  </si>
  <si>
    <t> -0.185 </t>
  </si>
  <si>
    <t>2447239.474 </t>
  </si>
  <si>
    <t> 18.03.1988 23:22 </t>
  </si>
  <si>
    <t> -0.191 </t>
  </si>
  <si>
    <t>2447649.385 </t>
  </si>
  <si>
    <t> 02.05.1989 21:14 </t>
  </si>
  <si>
    <t> -0.199 </t>
  </si>
  <si>
    <t> A.Paschke </t>
  </si>
  <si>
    <t> BBS 92 </t>
  </si>
  <si>
    <t>2447654.416 </t>
  </si>
  <si>
    <t> 07.05.1989 21:59 </t>
  </si>
  <si>
    <t> -0.204 </t>
  </si>
  <si>
    <t>2447944.468 </t>
  </si>
  <si>
    <t> 21.02.1990 23:13 </t>
  </si>
  <si>
    <t> -0.218 </t>
  </si>
  <si>
    <t> BBS 94 </t>
  </si>
  <si>
    <t>2447945.4812 </t>
  </si>
  <si>
    <t> 22.02.1990 23:32 </t>
  </si>
  <si>
    <t> -0.2118 </t>
  </si>
  <si>
    <t>E </t>
  </si>
  <si>
    <t>B;V</t>
  </si>
  <si>
    <t> F.Agerer </t>
  </si>
  <si>
    <t>BAVM 56 </t>
  </si>
  <si>
    <t>2447947.4975 </t>
  </si>
  <si>
    <t> 24.02.1990 23:56 </t>
  </si>
  <si>
    <t> -0.2098 </t>
  </si>
  <si>
    <t>2447947.508 </t>
  </si>
  <si>
    <t> 25.02.1990 00:11 </t>
  </si>
  <si>
    <t> J.Borovicka </t>
  </si>
  <si>
    <t> BRNO 31 </t>
  </si>
  <si>
    <t>2448307.5534 </t>
  </si>
  <si>
    <t> 20.02.1991 01:16 </t>
  </si>
  <si>
    <t> -0.2179 </t>
  </si>
  <si>
    <t>BAVM 68 </t>
  </si>
  <si>
    <t>2448348.349 </t>
  </si>
  <si>
    <t> 01.04.1991 20:22 </t>
  </si>
  <si>
    <t> -0.213 </t>
  </si>
  <si>
    <t> BBS 97 </t>
  </si>
  <si>
    <t>2448356.3969 </t>
  </si>
  <si>
    <t> 09.04.1991 21:31 </t>
  </si>
  <si>
    <t> -0.2222 </t>
  </si>
  <si>
    <t>?</t>
  </si>
  <si>
    <t>2448356.409 </t>
  </si>
  <si>
    <t> 09.04.1991 21:48 </t>
  </si>
  <si>
    <t> -0.210 </t>
  </si>
  <si>
    <t>2448357.4068 </t>
  </si>
  <si>
    <t> 10.04.1991 21:45 </t>
  </si>
  <si>
    <t> -0.2195 </t>
  </si>
  <si>
    <t>G</t>
  </si>
  <si>
    <t>2448357.4086 </t>
  </si>
  <si>
    <t> 10.04.1991 21:48 </t>
  </si>
  <si>
    <t> -0.2177 </t>
  </si>
  <si>
    <t>2448361.430 </t>
  </si>
  <si>
    <t> 14.04.1991 22:19 </t>
  </si>
  <si>
    <t> -0.225 </t>
  </si>
  <si>
    <t> BBS 98 </t>
  </si>
  <si>
    <t>2449058.395 </t>
  </si>
  <si>
    <t> 11.03.1993 21:28 </t>
  </si>
  <si>
    <t> -0.223 </t>
  </si>
  <si>
    <t> BBS 103 </t>
  </si>
  <si>
    <t>2450179.370 </t>
  </si>
  <si>
    <t> 05.04.1996 20:52 </t>
  </si>
  <si>
    <t> -0.230 </t>
  </si>
  <si>
    <t> BBS 112 </t>
  </si>
  <si>
    <t>2450188.426 </t>
  </si>
  <si>
    <t> 14.04.1996 22:13 </t>
  </si>
  <si>
    <t> -0.239 </t>
  </si>
  <si>
    <t>2450193.4476 </t>
  </si>
  <si>
    <t> 19.04.1996 22:44 </t>
  </si>
  <si>
    <t> -0.2533 </t>
  </si>
  <si>
    <t> L.Brat </t>
  </si>
  <si>
    <t> BRNO 32 </t>
  </si>
  <si>
    <t>2450193.4553 </t>
  </si>
  <si>
    <t> 19.04.1996 22:55 </t>
  </si>
  <si>
    <t> -0.2456 </t>
  </si>
  <si>
    <t> P.Sobotka </t>
  </si>
  <si>
    <t>2450895.4403 </t>
  </si>
  <si>
    <t> 22.03.1998 22:34 </t>
  </si>
  <si>
    <t> -0.2595 </t>
  </si>
  <si>
    <t> J.Safar </t>
  </si>
  <si>
    <t>IBVS 4888 </t>
  </si>
  <si>
    <t>2450896.4469 </t>
  </si>
  <si>
    <t> 23.03.1998 22:43 </t>
  </si>
  <si>
    <t> -0.2600 </t>
  </si>
  <si>
    <t>o</t>
  </si>
  <si>
    <t> W.Kleikamp </t>
  </si>
  <si>
    <t>BAVM 117 </t>
  </si>
  <si>
    <t>2450898.460 </t>
  </si>
  <si>
    <t> 25.03.1998 23:02 </t>
  </si>
  <si>
    <t> -0.261 </t>
  </si>
  <si>
    <t> BBS 118 </t>
  </si>
  <si>
    <t>2451199.602 </t>
  </si>
  <si>
    <t> 21.01.1999 02:26 </t>
  </si>
  <si>
    <t> -0.264 </t>
  </si>
  <si>
    <t> BBS 119 </t>
  </si>
  <si>
    <t>2452011.3698 </t>
  </si>
  <si>
    <t> 11.04.2001 20:52 </t>
  </si>
  <si>
    <t> -0.2765 </t>
  </si>
  <si>
    <t>-I</t>
  </si>
  <si>
    <t>BAVM 152 </t>
  </si>
  <si>
    <t>2452618.6858 </t>
  </si>
  <si>
    <t> 10.12.2002 04:27 </t>
  </si>
  <si>
    <t>15134</t>
  </si>
  <si>
    <t> -0.2852 </t>
  </si>
  <si>
    <t> W.Moschner </t>
  </si>
  <si>
    <t>BAVM 172 </t>
  </si>
  <si>
    <t>2452647.8926 </t>
  </si>
  <si>
    <t> 08.01.2003 09:25 </t>
  </si>
  <si>
    <t>15163</t>
  </si>
  <si>
    <t> -0.2864 </t>
  </si>
  <si>
    <t>C </t>
  </si>
  <si>
    <t> S.Dvorak </t>
  </si>
  <si>
    <t> JAAVSO 41;122 </t>
  </si>
  <si>
    <t>2452718.3936 </t>
  </si>
  <si>
    <t> 19.03.2003 21:26 </t>
  </si>
  <si>
    <t>15233</t>
  </si>
  <si>
    <t> -0.2875 </t>
  </si>
  <si>
    <t> V.Bakis et al. </t>
  </si>
  <si>
    <t>IBVS 5616 </t>
  </si>
  <si>
    <t>2453003.9218 </t>
  </si>
  <si>
    <t> 30.12.2003 10:07 </t>
  </si>
  <si>
    <t>15516.5</t>
  </si>
  <si>
    <t> -0.2925 </t>
  </si>
  <si>
    <t> C.Lacy </t>
  </si>
  <si>
    <t>IBVS 5577 </t>
  </si>
  <si>
    <t>2453029.6057 </t>
  </si>
  <si>
    <t> 25.01.2004 02:32 </t>
  </si>
  <si>
    <t>15542</t>
  </si>
  <si>
    <t> -0.2915 </t>
  </si>
  <si>
    <t> M.Zejda </t>
  </si>
  <si>
    <t>IBVS 5583 </t>
  </si>
  <si>
    <t>2453053.77763 </t>
  </si>
  <si>
    <t> 18.02.2004 06:39 </t>
  </si>
  <si>
    <t>15566</t>
  </si>
  <si>
    <t> -0.29172 </t>
  </si>
  <si>
    <t>2453056.79837 </t>
  </si>
  <si>
    <t> 21.02.2004 07:09 </t>
  </si>
  <si>
    <t>15569</t>
  </si>
  <si>
    <t> -0.29250 </t>
  </si>
  <si>
    <t>2453062.84173 </t>
  </si>
  <si>
    <t> 27.02.2004 08:12 </t>
  </si>
  <si>
    <t>15575</t>
  </si>
  <si>
    <t> -0.29217 </t>
  </si>
  <si>
    <t>2453063.84872 </t>
  </si>
  <si>
    <t> 28.02.2004 08:22 </t>
  </si>
  <si>
    <t>15576</t>
  </si>
  <si>
    <t> -0.29235 </t>
  </si>
  <si>
    <t>2453093.0556 </t>
  </si>
  <si>
    <t> 28.03.2004 13:20 </t>
  </si>
  <si>
    <t>15605</t>
  </si>
  <si>
    <t> -0.2935 </t>
  </si>
  <si>
    <t> K.Nagai </t>
  </si>
  <si>
    <t>VSB 43 </t>
  </si>
  <si>
    <t>2453112.6948 </t>
  </si>
  <si>
    <t> 17.04.2004 04:40 </t>
  </si>
  <si>
    <t>15624.5</t>
  </si>
  <si>
    <t> -0.2941 </t>
  </si>
  <si>
    <t>2453459.6740 </t>
  </si>
  <si>
    <t> 30.03.2005 04:10 </t>
  </si>
  <si>
    <t>15969</t>
  </si>
  <si>
    <t> -0.2857 </t>
  </si>
  <si>
    <t> W.Ogloza et al. </t>
  </si>
  <si>
    <t>IBVS 5843 </t>
  </si>
  <si>
    <t>2454113.3077 </t>
  </si>
  <si>
    <t> 12.01.2007 19:23 </t>
  </si>
  <si>
    <t>16618</t>
  </si>
  <si>
    <t> -0.3066 </t>
  </si>
  <si>
    <t>Ic</t>
  </si>
  <si>
    <t> K.Nakajima </t>
  </si>
  <si>
    <t>VSB 46 </t>
  </si>
  <si>
    <t>2454138.4862 </t>
  </si>
  <si>
    <t> 06.02.2007 23:40 </t>
  </si>
  <si>
    <t>16643</t>
  </si>
  <si>
    <t> -0.3074 </t>
  </si>
  <si>
    <t> S.Dogru et al. </t>
  </si>
  <si>
    <t>IBVS 5893 </t>
  </si>
  <si>
    <t>2454563.0345 </t>
  </si>
  <si>
    <t> 06.04.2008 12:49 </t>
  </si>
  <si>
    <t>17064.5</t>
  </si>
  <si>
    <t> -0.2821 </t>
  </si>
  <si>
    <t>Rc</t>
  </si>
  <si>
    <t>VSB 48 </t>
  </si>
  <si>
    <t>2454569.0534 </t>
  </si>
  <si>
    <t> 12.04.2008 13:16 </t>
  </si>
  <si>
    <t>17070.5</t>
  </si>
  <si>
    <t> -0.3062 </t>
  </si>
  <si>
    <t>2454890.5368 </t>
  </si>
  <si>
    <t> 28.02.2009 00:52 </t>
  </si>
  <si>
    <t>17389.5</t>
  </si>
  <si>
    <t> -0.1107 </t>
  </si>
  <si>
    <t>IBVS 5894 </t>
  </si>
  <si>
    <t>2454924.0687 </t>
  </si>
  <si>
    <t> 02.04.2009 13:38 </t>
  </si>
  <si>
    <t>17423</t>
  </si>
  <si>
    <t> -0.3191 </t>
  </si>
  <si>
    <t>VSB 50 </t>
  </si>
  <si>
    <t>2454961.3398 </t>
  </si>
  <si>
    <t> 09.05.2009 20:09 </t>
  </si>
  <si>
    <t>17460</t>
  </si>
  <si>
    <t> -0.3133 </t>
  </si>
  <si>
    <t>2454966.3708 </t>
  </si>
  <si>
    <t> 14.05.2009 20:53 </t>
  </si>
  <si>
    <t>17465</t>
  </si>
  <si>
    <t> -0.3182 </t>
  </si>
  <si>
    <t>2455321.3862 </t>
  </si>
  <si>
    <t> 04.05.2010 21:16 </t>
  </si>
  <si>
    <t>17817</t>
  </si>
  <si>
    <t> 0.1727 </t>
  </si>
  <si>
    <t>m</t>
  </si>
  <si>
    <t>IBVS 5988 </t>
  </si>
  <si>
    <t>2455600.8816 </t>
  </si>
  <si>
    <t> 08.02.2011 09:09 </t>
  </si>
  <si>
    <t>18095</t>
  </si>
  <si>
    <t> -0.3257 </t>
  </si>
  <si>
    <t>IBVS 5992 </t>
  </si>
  <si>
    <t>2456310.9295 </t>
  </si>
  <si>
    <t> 18.01.2013 10:18 </t>
  </si>
  <si>
    <t>18800</t>
  </si>
  <si>
    <t> -0.3341 </t>
  </si>
  <si>
    <t>IBVS 6063 </t>
  </si>
  <si>
    <t>2456337.1145 </t>
  </si>
  <si>
    <t> 13.02.2013 14:44 </t>
  </si>
  <si>
    <t>18826</t>
  </si>
  <si>
    <t> -0.3356 </t>
  </si>
  <si>
    <t> K.Shiokawa </t>
  </si>
  <si>
    <t>VSB 56 </t>
  </si>
  <si>
    <t>BAD?</t>
  </si>
  <si>
    <t>OEJV 0211</t>
  </si>
  <si>
    <t>VSB 069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</si>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</sst>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10" fillId="24" borderId="0" xfId="0" applyFont="1" applyFill="1" applyAlignment="1"/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18" fillId="25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Leo - O-C Diagr.</a:t>
            </a:r>
          </a:p>
        </c:rich>
      </c:tx>
      <c:layout>
        <c:manualLayout>
          <c:xMode val="edge"/>
          <c:yMode val="edge"/>
          <c:x val="0.380727361686424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4769252958613219"/>
          <c:w val="0.81200757184225025"/>
          <c:h val="0.68307794933586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-3.4680000026128255E-3</c:v>
                </c:pt>
                <c:pt idx="1">
                  <c:v>-9.8120000002381857E-3</c:v>
                </c:pt>
                <c:pt idx="2">
                  <c:v>2.4783999997453066E-2</c:v>
                </c:pt>
                <c:pt idx="3">
                  <c:v>-9.0760000020964071E-3</c:v>
                </c:pt>
                <c:pt idx="4">
                  <c:v>-2.376400000139256E-2</c:v>
                </c:pt>
                <c:pt idx="5">
                  <c:v>0.23655399999915971</c:v>
                </c:pt>
                <c:pt idx="6">
                  <c:v>-8.6760000012873206E-3</c:v>
                </c:pt>
                <c:pt idx="7">
                  <c:v>-7.8480000011040829E-3</c:v>
                </c:pt>
                <c:pt idx="8">
                  <c:v>1.7179999998916173E-2</c:v>
                </c:pt>
                <c:pt idx="9">
                  <c:v>-3.299200000037672E-2</c:v>
                </c:pt>
                <c:pt idx="10">
                  <c:v>-2.2164000001794193E-2</c:v>
                </c:pt>
                <c:pt idx="11">
                  <c:v>-2.3360000013781246E-3</c:v>
                </c:pt>
                <c:pt idx="12">
                  <c:v>-4.7507999999652384E-2</c:v>
                </c:pt>
                <c:pt idx="13">
                  <c:v>5.4359999994630925E-3</c:v>
                </c:pt>
                <c:pt idx="14">
                  <c:v>6.0879999982716981E-3</c:v>
                </c:pt>
                <c:pt idx="15">
                  <c:v>5.4000000018277206E-3</c:v>
                </c:pt>
                <c:pt idx="16">
                  <c:v>-2.8028000000631437E-2</c:v>
                </c:pt>
                <c:pt idx="17">
                  <c:v>-9.4840000019758008E-3</c:v>
                </c:pt>
                <c:pt idx="18">
                  <c:v>7.3439999978290871E-3</c:v>
                </c:pt>
                <c:pt idx="19">
                  <c:v>-8.5160000016912818E-3</c:v>
                </c:pt>
                <c:pt idx="20">
                  <c:v>-4.2799999937415123E-4</c:v>
                </c:pt>
                <c:pt idx="21">
                  <c:v>1.4399999996385304E-2</c:v>
                </c:pt>
                <c:pt idx="22">
                  <c:v>-1.7719999996188562E-3</c:v>
                </c:pt>
                <c:pt idx="23">
                  <c:v>2.236800000173389E-2</c:v>
                </c:pt>
                <c:pt idx="24">
                  <c:v>1.8651999998837709E-2</c:v>
                </c:pt>
                <c:pt idx="25">
                  <c:v>-5.0260000003618188E-2</c:v>
                </c:pt>
                <c:pt idx="26">
                  <c:v>-1.5776000003825175E-2</c:v>
                </c:pt>
                <c:pt idx="27">
                  <c:v>-2.1464000001287786E-2</c:v>
                </c:pt>
                <c:pt idx="28">
                  <c:v>-4.7840000006544869E-3</c:v>
                </c:pt>
                <c:pt idx="29">
                  <c:v>-2.9436000000714557E-2</c:v>
                </c:pt>
                <c:pt idx="30">
                  <c:v>-1.2612000002263812E-2</c:v>
                </c:pt>
                <c:pt idx="31">
                  <c:v>3.3879999973578379E-3</c:v>
                </c:pt>
                <c:pt idx="32">
                  <c:v>1.043999996909406E-3</c:v>
                </c:pt>
                <c:pt idx="33">
                  <c:v>-4.2075999997905456E-2</c:v>
                </c:pt>
                <c:pt idx="34">
                  <c:v>8.0920000036712736E-3</c:v>
                </c:pt>
                <c:pt idx="35">
                  <c:v>3.3560000010766089E-3</c:v>
                </c:pt>
                <c:pt idx="36">
                  <c:v>-8.1599999975878745E-3</c:v>
                </c:pt>
                <c:pt idx="37">
                  <c:v>1.587199999630684E-2</c:v>
                </c:pt>
                <c:pt idx="38">
                  <c:v>2.4700000001757871E-2</c:v>
                </c:pt>
                <c:pt idx="39">
                  <c:v>2.3527999997895677E-2</c:v>
                </c:pt>
                <c:pt idx="40">
                  <c:v>6.8360000004759058E-3</c:v>
                </c:pt>
                <c:pt idx="41">
                  <c:v>3.6640000034822151E-3</c:v>
                </c:pt>
                <c:pt idx="42">
                  <c:v>7.4919999970006756E-3</c:v>
                </c:pt>
                <c:pt idx="43">
                  <c:v>2.0263999998860527E-2</c:v>
                </c:pt>
                <c:pt idx="44">
                  <c:v>-1.9440000032773241E-3</c:v>
                </c:pt>
                <c:pt idx="45">
                  <c:v>-3.1159999998635612E-3</c:v>
                </c:pt>
                <c:pt idx="46">
                  <c:v>-3.5119999956805259E-3</c:v>
                </c:pt>
                <c:pt idx="47">
                  <c:v>1.1719999965862371E-3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56-4AF1-A750-1DB6173D72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76">
                    <c:v>2E-3</c:v>
                  </c:pt>
                  <c:pt idx="78">
                    <c:v>7.0000000000000001E-3</c:v>
                  </c:pt>
                  <c:pt idx="81">
                    <c:v>2.9999999999999997E-4</c:v>
                  </c:pt>
                  <c:pt idx="82">
                    <c:v>3.5000000000000001E-3</c:v>
                  </c:pt>
                  <c:pt idx="83">
                    <c:v>0</c:v>
                  </c:pt>
                  <c:pt idx="84">
                    <c:v>5.0000000000000001E-4</c:v>
                  </c:pt>
                  <c:pt idx="85">
                    <c:v>1.9000000000000001E-4</c:v>
                  </c:pt>
                  <c:pt idx="86">
                    <c:v>1.2E-4</c:v>
                  </c:pt>
                  <c:pt idx="87">
                    <c:v>1.4999999999999999E-4</c:v>
                  </c:pt>
                  <c:pt idx="88">
                    <c:v>1.2E-4</c:v>
                  </c:pt>
                  <c:pt idx="89">
                    <c:v>1.2999999999999999E-3</c:v>
                  </c:pt>
                  <c:pt idx="90">
                    <c:v>3.7000000000000002E-3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2.5999999999999999E-3</c:v>
                  </c:pt>
                  <c:pt idx="94">
                    <c:v>2.0000000000000001E-4</c:v>
                  </c:pt>
                  <c:pt idx="95">
                    <c:v>6.9999999999999999E-4</c:v>
                  </c:pt>
                  <c:pt idx="96">
                    <c:v>1E-4</c:v>
                  </c:pt>
                  <c:pt idx="97">
                    <c:v>5.9999999999999995E-4</c:v>
                  </c:pt>
                  <c:pt idx="98">
                    <c:v>2E-3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8">
                    <c:v>0</c:v>
                  </c:pt>
                  <c:pt idx="109">
                    <c:v>1.1000000000000001E-3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76">
                    <c:v>2E-3</c:v>
                  </c:pt>
                  <c:pt idx="78">
                    <c:v>7.0000000000000001E-3</c:v>
                  </c:pt>
                  <c:pt idx="81">
                    <c:v>2.9999999999999997E-4</c:v>
                  </c:pt>
                  <c:pt idx="82">
                    <c:v>3.5000000000000001E-3</c:v>
                  </c:pt>
                  <c:pt idx="83">
                    <c:v>0</c:v>
                  </c:pt>
                  <c:pt idx="84">
                    <c:v>5.0000000000000001E-4</c:v>
                  </c:pt>
                  <c:pt idx="85">
                    <c:v>1.9000000000000001E-4</c:v>
                  </c:pt>
                  <c:pt idx="86">
                    <c:v>1.2E-4</c:v>
                  </c:pt>
                  <c:pt idx="87">
                    <c:v>1.4999999999999999E-4</c:v>
                  </c:pt>
                  <c:pt idx="88">
                    <c:v>1.2E-4</c:v>
                  </c:pt>
                  <c:pt idx="89">
                    <c:v>1.2999999999999999E-3</c:v>
                  </c:pt>
                  <c:pt idx="90">
                    <c:v>3.7000000000000002E-3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2.5999999999999999E-3</c:v>
                  </c:pt>
                  <c:pt idx="94">
                    <c:v>2.0000000000000001E-4</c:v>
                  </c:pt>
                  <c:pt idx="95">
                    <c:v>6.9999999999999999E-4</c:v>
                  </c:pt>
                  <c:pt idx="96">
                    <c:v>1E-4</c:v>
                  </c:pt>
                  <c:pt idx="97">
                    <c:v>5.9999999999999995E-4</c:v>
                  </c:pt>
                  <c:pt idx="98">
                    <c:v>2E-3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8">
                    <c:v>0</c:v>
                  </c:pt>
                  <c:pt idx="109">
                    <c:v>1.1000000000000001E-3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61">
                  <c:v>-0.26370000000315486</c:v>
                </c:pt>
                <c:pt idx="62">
                  <c:v>-0.2230280000003404</c:v>
                </c:pt>
                <c:pt idx="63">
                  <c:v>-0.23046400000021094</c:v>
                </c:pt>
                <c:pt idx="64">
                  <c:v>-0.23901199999818346</c:v>
                </c:pt>
                <c:pt idx="65">
                  <c:v>-0.26127199999609729</c:v>
                </c:pt>
                <c:pt idx="69">
                  <c:v>-0.19353599999885773</c:v>
                </c:pt>
                <c:pt idx="70">
                  <c:v>-0.18470800000068266</c:v>
                </c:pt>
                <c:pt idx="71">
                  <c:v>-0.19139599999471102</c:v>
                </c:pt>
                <c:pt idx="72">
                  <c:v>-0.19939999999769498</c:v>
                </c:pt>
                <c:pt idx="73">
                  <c:v>-0.20425999999861233</c:v>
                </c:pt>
                <c:pt idx="74">
                  <c:v>-0.21779599999717902</c:v>
                </c:pt>
                <c:pt idx="75">
                  <c:v>-0.21276799999759533</c:v>
                </c:pt>
                <c:pt idx="76">
                  <c:v>-0.22224399999686284</c:v>
                </c:pt>
                <c:pt idx="77">
                  <c:v>-0.21014399999694433</c:v>
                </c:pt>
                <c:pt idx="78">
                  <c:v>-0.22500399999989895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56-4AF1-A750-1DB6173D72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9">
                  <c:v>-0.25327200000174344</c:v>
                </c:pt>
                <c:pt idx="50">
                  <c:v>-0.24557199999981094</c:v>
                </c:pt>
                <c:pt idx="52">
                  <c:v>-0.21356800000648946</c:v>
                </c:pt>
                <c:pt idx="53">
                  <c:v>-0.20986800000537187</c:v>
                </c:pt>
                <c:pt idx="54">
                  <c:v>-0.2101120000006631</c:v>
                </c:pt>
                <c:pt idx="55">
                  <c:v>-0.20971199999621604</c:v>
                </c:pt>
                <c:pt idx="56">
                  <c:v>-0.21176800000102958</c:v>
                </c:pt>
                <c:pt idx="57">
                  <c:v>-0.20981200000096578</c:v>
                </c:pt>
                <c:pt idx="58">
                  <c:v>-0.21790200000395998</c:v>
                </c:pt>
                <c:pt idx="59">
                  <c:v>-0.21951600000465987</c:v>
                </c:pt>
                <c:pt idx="60">
                  <c:v>-0.21771599999919999</c:v>
                </c:pt>
                <c:pt idx="81">
                  <c:v>-0.26002799999696435</c:v>
                </c:pt>
                <c:pt idx="83">
                  <c:v>-0.27653200000349898</c:v>
                </c:pt>
                <c:pt idx="92">
                  <c:v>-0.28524800000013784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56-4AF1-A750-1DB6173D72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1">
                  <c:v>-0.28643600000214064</c:v>
                </c:pt>
                <c:pt idx="82">
                  <c:v>-0.25945599999977276</c:v>
                </c:pt>
                <c:pt idx="84">
                  <c:v>-0.29253800000151386</c:v>
                </c:pt>
                <c:pt idx="85">
                  <c:v>-0.29172200000175508</c:v>
                </c:pt>
                <c:pt idx="86">
                  <c:v>-0.29249800000252435</c:v>
                </c:pt>
                <c:pt idx="87">
                  <c:v>-0.29217000000062399</c:v>
                </c:pt>
                <c:pt idx="88">
                  <c:v>-0.29235199999675388</c:v>
                </c:pt>
                <c:pt idx="89">
                  <c:v>-0.29411400000390131</c:v>
                </c:pt>
                <c:pt idx="90">
                  <c:v>-0.29152400000020862</c:v>
                </c:pt>
                <c:pt idx="91">
                  <c:v>-0.28747599999769591</c:v>
                </c:pt>
                <c:pt idx="93">
                  <c:v>-0.2856679999968037</c:v>
                </c:pt>
                <c:pt idx="94">
                  <c:v>-0.30739600000379141</c:v>
                </c:pt>
                <c:pt idx="95">
                  <c:v>-0.31332000000111293</c:v>
                </c:pt>
                <c:pt idx="96">
                  <c:v>-0.31818000000203028</c:v>
                </c:pt>
                <c:pt idx="98">
                  <c:v>-0.33090999999694759</c:v>
                </c:pt>
                <c:pt idx="99">
                  <c:v>-0.32574000000022352</c:v>
                </c:pt>
                <c:pt idx="100">
                  <c:v>-0.33410000000003492</c:v>
                </c:pt>
                <c:pt idx="101">
                  <c:v>-0.35854400000243913</c:v>
                </c:pt>
                <c:pt idx="102">
                  <c:v>-0.29346000000077765</c:v>
                </c:pt>
                <c:pt idx="103">
                  <c:v>-0.30659600000217324</c:v>
                </c:pt>
                <c:pt idx="104">
                  <c:v>-0.28209400000196183</c:v>
                </c:pt>
                <c:pt idx="105">
                  <c:v>-0.30622600000788225</c:v>
                </c:pt>
                <c:pt idx="106">
                  <c:v>-0.31905599999299739</c:v>
                </c:pt>
                <c:pt idx="107">
                  <c:v>-0.33557199999631848</c:v>
                </c:pt>
                <c:pt idx="108">
                  <c:v>-0.3545319999975618</c:v>
                </c:pt>
                <c:pt idx="109">
                  <c:v>-0.366967999994813</c:v>
                </c:pt>
                <c:pt idx="110">
                  <c:v>-0.3872140000021318</c:v>
                </c:pt>
                <c:pt idx="111">
                  <c:v>-0.38531399999919813</c:v>
                </c:pt>
                <c:pt idx="112">
                  <c:v>-0.38241399999969872</c:v>
                </c:pt>
                <c:pt idx="113">
                  <c:v>-0.38775800015719142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56-4AF1-A750-1DB6173D72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56-4AF1-A750-1DB6173D72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56-4AF1-A750-1DB6173D72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79">
                  <c:v>-0.19931199999700766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56-4AF1-A750-1DB6173D72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9">
                  <c:v>-0.24334754592101468</c:v>
                </c:pt>
                <c:pt idx="50">
                  <c:v>-0.24334754592101468</c:v>
                </c:pt>
                <c:pt idx="51">
                  <c:v>-0.28196198693938435</c:v>
                </c:pt>
                <c:pt idx="59">
                  <c:v>-0.21446197925031796</c:v>
                </c:pt>
                <c:pt idx="60">
                  <c:v>-0.21446197925031796</c:v>
                </c:pt>
                <c:pt idx="61">
                  <c:v>-0.25917677307626752</c:v>
                </c:pt>
                <c:pt idx="62">
                  <c:v>-0.22549014952064428</c:v>
                </c:pt>
                <c:pt idx="63">
                  <c:v>-0.24312571490982995</c:v>
                </c:pt>
                <c:pt idx="64">
                  <c:v>-0.24326832055987727</c:v>
                </c:pt>
                <c:pt idx="65">
                  <c:v>-0.25443909648025093</c:v>
                </c:pt>
                <c:pt idx="78">
                  <c:v>-0.21452535953922786</c:v>
                </c:pt>
                <c:pt idx="81">
                  <c:v>-0.25440740633579595</c:v>
                </c:pt>
                <c:pt idx="82">
                  <c:v>-0.25439156126356849</c:v>
                </c:pt>
                <c:pt idx="83">
                  <c:v>-0.27194790129161672</c:v>
                </c:pt>
                <c:pt idx="84">
                  <c:v>-0.28756321997179868</c:v>
                </c:pt>
                <c:pt idx="85">
                  <c:v>-0.28834755104705889</c:v>
                </c:pt>
                <c:pt idx="86">
                  <c:v>-0.28839508626374133</c:v>
                </c:pt>
                <c:pt idx="87">
                  <c:v>-0.28849015669710626</c:v>
                </c:pt>
                <c:pt idx="88">
                  <c:v>-0.28850600176933372</c:v>
                </c:pt>
                <c:pt idx="89">
                  <c:v>-0.28927448777236653</c:v>
                </c:pt>
                <c:pt idx="90">
                  <c:v>-0.28796726931359939</c:v>
                </c:pt>
                <c:pt idx="91">
                  <c:v>-0.28307114199530797</c:v>
                </c:pt>
                <c:pt idx="92">
                  <c:v>-0.28150247984478738</c:v>
                </c:pt>
                <c:pt idx="93">
                  <c:v>-0.29473311515473355</c:v>
                </c:pt>
                <c:pt idx="94">
                  <c:v>-0.30541269383605529</c:v>
                </c:pt>
                <c:pt idx="95">
                  <c:v>-0.31835811784590673</c:v>
                </c:pt>
                <c:pt idx="96">
                  <c:v>-0.3184373432070442</c:v>
                </c:pt>
                <c:pt idx="97">
                  <c:v>-0.31724896278998316</c:v>
                </c:pt>
                <c:pt idx="98">
                  <c:v>-0.32402273116723102</c:v>
                </c:pt>
                <c:pt idx="99">
                  <c:v>-0.32841973871035679</c:v>
                </c:pt>
                <c:pt idx="100">
                  <c:v>-0.33959051463073042</c:v>
                </c:pt>
                <c:pt idx="101">
                  <c:v>-0.36299368631071893</c:v>
                </c:pt>
                <c:pt idx="102">
                  <c:v>-0.28896550886393069</c:v>
                </c:pt>
                <c:pt idx="103">
                  <c:v>-0.30501656703036828</c:v>
                </c:pt>
                <c:pt idx="104">
                  <c:v>-0.31209139177993828</c:v>
                </c:pt>
                <c:pt idx="105">
                  <c:v>-0.31218646221330315</c:v>
                </c:pt>
                <c:pt idx="106">
                  <c:v>-0.31777185017348997</c:v>
                </c:pt>
                <c:pt idx="107">
                  <c:v>-0.34000248650864495</c:v>
                </c:pt>
                <c:pt idx="108">
                  <c:v>-0.3575112913200108</c:v>
                </c:pt>
                <c:pt idx="109">
                  <c:v>-0.36908611658218515</c:v>
                </c:pt>
                <c:pt idx="110">
                  <c:v>-0.38077977988606571</c:v>
                </c:pt>
                <c:pt idx="111">
                  <c:v>-0.38077977988606571</c:v>
                </c:pt>
                <c:pt idx="112">
                  <c:v>-0.38077977988606571</c:v>
                </c:pt>
                <c:pt idx="113">
                  <c:v>-0.38556499169876479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56-4AF1-A750-1DB6173D72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0.23655399999915971</c:v>
                </c:pt>
                <c:pt idx="66">
                  <c:v>-0.21425599999929545</c:v>
                </c:pt>
                <c:pt idx="67">
                  <c:v>-0.2419439999939641</c:v>
                </c:pt>
                <c:pt idx="68">
                  <c:v>-0.22708799999963958</c:v>
                </c:pt>
                <c:pt idx="80">
                  <c:v>0.12327600000571692</c:v>
                </c:pt>
                <c:pt idx="98">
                  <c:v>-0.61427999999432359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56-4AF1-A750-1DB6173D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886664"/>
        <c:axId val="1"/>
      </c:scatterChart>
      <c:valAx>
        <c:axId val="870886664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8923206137694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9692372299616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886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19622428712997"/>
          <c:y val="0.92000129214617399"/>
          <c:w val="0.759874778685839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UX Leo - O-C Diagr.</a:t>
            </a:r>
          </a:p>
        </c:rich>
      </c:tx>
      <c:layout>
        <c:manualLayout>
          <c:xMode val="edge"/>
          <c:yMode val="edge"/>
          <c:x val="0.380126514154184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3763904281398"/>
          <c:y val="0.14723926380368099"/>
          <c:w val="0.81861261784415196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-3.4680000026128255E-3</c:v>
                </c:pt>
                <c:pt idx="1">
                  <c:v>-9.8120000002381857E-3</c:v>
                </c:pt>
                <c:pt idx="2">
                  <c:v>2.4783999997453066E-2</c:v>
                </c:pt>
                <c:pt idx="3">
                  <c:v>-9.0760000020964071E-3</c:v>
                </c:pt>
                <c:pt idx="4">
                  <c:v>-2.376400000139256E-2</c:v>
                </c:pt>
                <c:pt idx="5">
                  <c:v>0.23655399999915971</c:v>
                </c:pt>
                <c:pt idx="6">
                  <c:v>-8.6760000012873206E-3</c:v>
                </c:pt>
                <c:pt idx="7">
                  <c:v>-7.8480000011040829E-3</c:v>
                </c:pt>
                <c:pt idx="8">
                  <c:v>1.7179999998916173E-2</c:v>
                </c:pt>
                <c:pt idx="9">
                  <c:v>-3.299200000037672E-2</c:v>
                </c:pt>
                <c:pt idx="10">
                  <c:v>-2.2164000001794193E-2</c:v>
                </c:pt>
                <c:pt idx="11">
                  <c:v>-2.3360000013781246E-3</c:v>
                </c:pt>
                <c:pt idx="12">
                  <c:v>-4.7507999999652384E-2</c:v>
                </c:pt>
                <c:pt idx="13">
                  <c:v>5.4359999994630925E-3</c:v>
                </c:pt>
                <c:pt idx="14">
                  <c:v>6.0879999982716981E-3</c:v>
                </c:pt>
                <c:pt idx="15">
                  <c:v>5.4000000018277206E-3</c:v>
                </c:pt>
                <c:pt idx="16">
                  <c:v>-2.8028000000631437E-2</c:v>
                </c:pt>
                <c:pt idx="17">
                  <c:v>-9.4840000019758008E-3</c:v>
                </c:pt>
                <c:pt idx="18">
                  <c:v>7.3439999978290871E-3</c:v>
                </c:pt>
                <c:pt idx="19">
                  <c:v>-8.5160000016912818E-3</c:v>
                </c:pt>
                <c:pt idx="20">
                  <c:v>-4.2799999937415123E-4</c:v>
                </c:pt>
                <c:pt idx="21">
                  <c:v>1.4399999996385304E-2</c:v>
                </c:pt>
                <c:pt idx="22">
                  <c:v>-1.7719999996188562E-3</c:v>
                </c:pt>
                <c:pt idx="23">
                  <c:v>2.236800000173389E-2</c:v>
                </c:pt>
                <c:pt idx="24">
                  <c:v>1.8651999998837709E-2</c:v>
                </c:pt>
                <c:pt idx="25">
                  <c:v>-5.0260000003618188E-2</c:v>
                </c:pt>
                <c:pt idx="26">
                  <c:v>-1.5776000003825175E-2</c:v>
                </c:pt>
                <c:pt idx="27">
                  <c:v>-2.1464000001287786E-2</c:v>
                </c:pt>
                <c:pt idx="28">
                  <c:v>-4.7840000006544869E-3</c:v>
                </c:pt>
                <c:pt idx="29">
                  <c:v>-2.9436000000714557E-2</c:v>
                </c:pt>
                <c:pt idx="30">
                  <c:v>-1.2612000002263812E-2</c:v>
                </c:pt>
                <c:pt idx="31">
                  <c:v>3.3879999973578379E-3</c:v>
                </c:pt>
                <c:pt idx="32">
                  <c:v>1.043999996909406E-3</c:v>
                </c:pt>
                <c:pt idx="33">
                  <c:v>-4.2075999997905456E-2</c:v>
                </c:pt>
                <c:pt idx="34">
                  <c:v>8.0920000036712736E-3</c:v>
                </c:pt>
                <c:pt idx="35">
                  <c:v>3.3560000010766089E-3</c:v>
                </c:pt>
                <c:pt idx="36">
                  <c:v>-8.1599999975878745E-3</c:v>
                </c:pt>
                <c:pt idx="37">
                  <c:v>1.587199999630684E-2</c:v>
                </c:pt>
                <c:pt idx="38">
                  <c:v>2.4700000001757871E-2</c:v>
                </c:pt>
                <c:pt idx="39">
                  <c:v>2.3527999997895677E-2</c:v>
                </c:pt>
                <c:pt idx="40">
                  <c:v>6.8360000004759058E-3</c:v>
                </c:pt>
                <c:pt idx="41">
                  <c:v>3.6640000034822151E-3</c:v>
                </c:pt>
                <c:pt idx="42">
                  <c:v>7.4919999970006756E-3</c:v>
                </c:pt>
                <c:pt idx="43">
                  <c:v>2.0263999998860527E-2</c:v>
                </c:pt>
                <c:pt idx="44">
                  <c:v>-1.9440000032773241E-3</c:v>
                </c:pt>
                <c:pt idx="45">
                  <c:v>-3.1159999998635612E-3</c:v>
                </c:pt>
                <c:pt idx="46">
                  <c:v>-3.5119999956805259E-3</c:v>
                </c:pt>
                <c:pt idx="47">
                  <c:v>1.1719999965862371E-3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6D-414D-A49E-2061C0F82A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76">
                    <c:v>2E-3</c:v>
                  </c:pt>
                  <c:pt idx="78">
                    <c:v>7.0000000000000001E-3</c:v>
                  </c:pt>
                  <c:pt idx="81">
                    <c:v>2.9999999999999997E-4</c:v>
                  </c:pt>
                  <c:pt idx="82">
                    <c:v>3.5000000000000001E-3</c:v>
                  </c:pt>
                  <c:pt idx="83">
                    <c:v>0</c:v>
                  </c:pt>
                  <c:pt idx="84">
                    <c:v>5.0000000000000001E-4</c:v>
                  </c:pt>
                  <c:pt idx="85">
                    <c:v>1.9000000000000001E-4</c:v>
                  </c:pt>
                  <c:pt idx="86">
                    <c:v>1.2E-4</c:v>
                  </c:pt>
                  <c:pt idx="87">
                    <c:v>1.4999999999999999E-4</c:v>
                  </c:pt>
                  <c:pt idx="88">
                    <c:v>1.2E-4</c:v>
                  </c:pt>
                  <c:pt idx="89">
                    <c:v>1.2999999999999999E-3</c:v>
                  </c:pt>
                  <c:pt idx="90">
                    <c:v>3.7000000000000002E-3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2.5999999999999999E-3</c:v>
                  </c:pt>
                  <c:pt idx="94">
                    <c:v>2.0000000000000001E-4</c:v>
                  </c:pt>
                  <c:pt idx="95">
                    <c:v>6.9999999999999999E-4</c:v>
                  </c:pt>
                  <c:pt idx="96">
                    <c:v>1E-4</c:v>
                  </c:pt>
                  <c:pt idx="97">
                    <c:v>5.9999999999999995E-4</c:v>
                  </c:pt>
                  <c:pt idx="98">
                    <c:v>2E-3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8">
                    <c:v>0</c:v>
                  </c:pt>
                  <c:pt idx="109">
                    <c:v>1.1000000000000001E-3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  <c:pt idx="76">
                    <c:v>2E-3</c:v>
                  </c:pt>
                  <c:pt idx="78">
                    <c:v>7.0000000000000001E-3</c:v>
                  </c:pt>
                  <c:pt idx="81">
                    <c:v>2.9999999999999997E-4</c:v>
                  </c:pt>
                  <c:pt idx="82">
                    <c:v>3.5000000000000001E-3</c:v>
                  </c:pt>
                  <c:pt idx="83">
                    <c:v>0</c:v>
                  </c:pt>
                  <c:pt idx="84">
                    <c:v>5.0000000000000001E-4</c:v>
                  </c:pt>
                  <c:pt idx="85">
                    <c:v>1.9000000000000001E-4</c:v>
                  </c:pt>
                  <c:pt idx="86">
                    <c:v>1.2E-4</c:v>
                  </c:pt>
                  <c:pt idx="87">
                    <c:v>1.4999999999999999E-4</c:v>
                  </c:pt>
                  <c:pt idx="88">
                    <c:v>1.2E-4</c:v>
                  </c:pt>
                  <c:pt idx="89">
                    <c:v>1.2999999999999999E-3</c:v>
                  </c:pt>
                  <c:pt idx="90">
                    <c:v>3.7000000000000002E-3</c:v>
                  </c:pt>
                  <c:pt idx="91">
                    <c:v>2.0000000000000001E-4</c:v>
                  </c:pt>
                  <c:pt idx="92">
                    <c:v>1E-4</c:v>
                  </c:pt>
                  <c:pt idx="93">
                    <c:v>2.5999999999999999E-3</c:v>
                  </c:pt>
                  <c:pt idx="94">
                    <c:v>2.0000000000000001E-4</c:v>
                  </c:pt>
                  <c:pt idx="95">
                    <c:v>6.9999999999999999E-4</c:v>
                  </c:pt>
                  <c:pt idx="96">
                    <c:v>1E-4</c:v>
                  </c:pt>
                  <c:pt idx="97">
                    <c:v>5.9999999999999995E-4</c:v>
                  </c:pt>
                  <c:pt idx="98">
                    <c:v>2E-3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8">
                    <c:v>0</c:v>
                  </c:pt>
                  <c:pt idx="109">
                    <c:v>1.1000000000000001E-3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61">
                  <c:v>-0.26370000000315486</c:v>
                </c:pt>
                <c:pt idx="62">
                  <c:v>-0.2230280000003404</c:v>
                </c:pt>
                <c:pt idx="63">
                  <c:v>-0.23046400000021094</c:v>
                </c:pt>
                <c:pt idx="64">
                  <c:v>-0.23901199999818346</c:v>
                </c:pt>
                <c:pt idx="65">
                  <c:v>-0.26127199999609729</c:v>
                </c:pt>
                <c:pt idx="69">
                  <c:v>-0.19353599999885773</c:v>
                </c:pt>
                <c:pt idx="70">
                  <c:v>-0.18470800000068266</c:v>
                </c:pt>
                <c:pt idx="71">
                  <c:v>-0.19139599999471102</c:v>
                </c:pt>
                <c:pt idx="72">
                  <c:v>-0.19939999999769498</c:v>
                </c:pt>
                <c:pt idx="73">
                  <c:v>-0.20425999999861233</c:v>
                </c:pt>
                <c:pt idx="74">
                  <c:v>-0.21779599999717902</c:v>
                </c:pt>
                <c:pt idx="75">
                  <c:v>-0.21276799999759533</c:v>
                </c:pt>
                <c:pt idx="76">
                  <c:v>-0.22224399999686284</c:v>
                </c:pt>
                <c:pt idx="77">
                  <c:v>-0.21014399999694433</c:v>
                </c:pt>
                <c:pt idx="78">
                  <c:v>-0.22500399999989895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6D-414D-A49E-2061C0F82A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</c:numCache>
              </c:numRef>
            </c:plus>
            <c:minus>
              <c:numRef>
                <c:f>Active!$D$21:$D$40</c:f>
                <c:numCache>
                  <c:formatCode>General</c:formatCode>
                  <c:ptCount val="2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9">
                  <c:v>-0.25327200000174344</c:v>
                </c:pt>
                <c:pt idx="50">
                  <c:v>-0.24557199999981094</c:v>
                </c:pt>
                <c:pt idx="52">
                  <c:v>-0.21356800000648946</c:v>
                </c:pt>
                <c:pt idx="53">
                  <c:v>-0.20986800000537187</c:v>
                </c:pt>
                <c:pt idx="54">
                  <c:v>-0.2101120000006631</c:v>
                </c:pt>
                <c:pt idx="55">
                  <c:v>-0.20971199999621604</c:v>
                </c:pt>
                <c:pt idx="56">
                  <c:v>-0.21176800000102958</c:v>
                </c:pt>
                <c:pt idx="57">
                  <c:v>-0.20981200000096578</c:v>
                </c:pt>
                <c:pt idx="58">
                  <c:v>-0.21790200000395998</c:v>
                </c:pt>
                <c:pt idx="59">
                  <c:v>-0.21951600000465987</c:v>
                </c:pt>
                <c:pt idx="60">
                  <c:v>-0.21771599999919999</c:v>
                </c:pt>
                <c:pt idx="81">
                  <c:v>-0.26002799999696435</c:v>
                </c:pt>
                <c:pt idx="83">
                  <c:v>-0.27653200000349898</c:v>
                </c:pt>
                <c:pt idx="92">
                  <c:v>-0.28524800000013784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6D-414D-A49E-2061C0F82A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1">
                  <c:v>-0.28643600000214064</c:v>
                </c:pt>
                <c:pt idx="82">
                  <c:v>-0.25945599999977276</c:v>
                </c:pt>
                <c:pt idx="84">
                  <c:v>-0.29253800000151386</c:v>
                </c:pt>
                <c:pt idx="85">
                  <c:v>-0.29172200000175508</c:v>
                </c:pt>
                <c:pt idx="86">
                  <c:v>-0.29249800000252435</c:v>
                </c:pt>
                <c:pt idx="87">
                  <c:v>-0.29217000000062399</c:v>
                </c:pt>
                <c:pt idx="88">
                  <c:v>-0.29235199999675388</c:v>
                </c:pt>
                <c:pt idx="89">
                  <c:v>-0.29411400000390131</c:v>
                </c:pt>
                <c:pt idx="90">
                  <c:v>-0.29152400000020862</c:v>
                </c:pt>
                <c:pt idx="91">
                  <c:v>-0.28747599999769591</c:v>
                </c:pt>
                <c:pt idx="93">
                  <c:v>-0.2856679999968037</c:v>
                </c:pt>
                <c:pt idx="94">
                  <c:v>-0.30739600000379141</c:v>
                </c:pt>
                <c:pt idx="95">
                  <c:v>-0.31332000000111293</c:v>
                </c:pt>
                <c:pt idx="96">
                  <c:v>-0.31818000000203028</c:v>
                </c:pt>
                <c:pt idx="98">
                  <c:v>-0.33090999999694759</c:v>
                </c:pt>
                <c:pt idx="99">
                  <c:v>-0.32574000000022352</c:v>
                </c:pt>
                <c:pt idx="100">
                  <c:v>-0.33410000000003492</c:v>
                </c:pt>
                <c:pt idx="101">
                  <c:v>-0.35854400000243913</c:v>
                </c:pt>
                <c:pt idx="102">
                  <c:v>-0.29346000000077765</c:v>
                </c:pt>
                <c:pt idx="103">
                  <c:v>-0.30659600000217324</c:v>
                </c:pt>
                <c:pt idx="104">
                  <c:v>-0.28209400000196183</c:v>
                </c:pt>
                <c:pt idx="105">
                  <c:v>-0.30622600000788225</c:v>
                </c:pt>
                <c:pt idx="106">
                  <c:v>-0.31905599999299739</c:v>
                </c:pt>
                <c:pt idx="107">
                  <c:v>-0.33557199999631848</c:v>
                </c:pt>
                <c:pt idx="108">
                  <c:v>-0.3545319999975618</c:v>
                </c:pt>
                <c:pt idx="109">
                  <c:v>-0.366967999994813</c:v>
                </c:pt>
                <c:pt idx="110">
                  <c:v>-0.3872140000021318</c:v>
                </c:pt>
                <c:pt idx="111">
                  <c:v>-0.38531399999919813</c:v>
                </c:pt>
                <c:pt idx="112">
                  <c:v>-0.38241399999969872</c:v>
                </c:pt>
                <c:pt idx="113">
                  <c:v>-0.38775800015719142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6D-414D-A49E-2061C0F82A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6D-414D-A49E-2061C0F82A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6D-414D-A49E-2061C0F82A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8">
                    <c:v>0</c:v>
                  </c:pt>
                  <c:pt idx="51">
                    <c:v>1E-4</c:v>
                  </c:pt>
                  <c:pt idx="61">
                    <c:v>2E-3</c:v>
                  </c:pt>
                  <c:pt idx="62">
                    <c:v>6.0000000000000001E-3</c:v>
                  </c:pt>
                  <c:pt idx="63">
                    <c:v>6.0000000000000001E-3</c:v>
                  </c:pt>
                  <c:pt idx="64">
                    <c:v>5.0000000000000001E-3</c:v>
                  </c:pt>
                  <c:pt idx="65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79">
                  <c:v>-0.19931199999700766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6D-414D-A49E-2061C0F82A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9">
                  <c:v>-0.24334754592101468</c:v>
                </c:pt>
                <c:pt idx="50">
                  <c:v>-0.24334754592101468</c:v>
                </c:pt>
                <c:pt idx="51">
                  <c:v>-0.28196198693938435</c:v>
                </c:pt>
                <c:pt idx="59">
                  <c:v>-0.21446197925031796</c:v>
                </c:pt>
                <c:pt idx="60">
                  <c:v>-0.21446197925031796</c:v>
                </c:pt>
                <c:pt idx="61">
                  <c:v>-0.25917677307626752</c:v>
                </c:pt>
                <c:pt idx="62">
                  <c:v>-0.22549014952064428</c:v>
                </c:pt>
                <c:pt idx="63">
                  <c:v>-0.24312571490982995</c:v>
                </c:pt>
                <c:pt idx="64">
                  <c:v>-0.24326832055987727</c:v>
                </c:pt>
                <c:pt idx="65">
                  <c:v>-0.25443909648025093</c:v>
                </c:pt>
                <c:pt idx="78">
                  <c:v>-0.21452535953922786</c:v>
                </c:pt>
                <c:pt idx="81">
                  <c:v>-0.25440740633579595</c:v>
                </c:pt>
                <c:pt idx="82">
                  <c:v>-0.25439156126356849</c:v>
                </c:pt>
                <c:pt idx="83">
                  <c:v>-0.27194790129161672</c:v>
                </c:pt>
                <c:pt idx="84">
                  <c:v>-0.28756321997179868</c:v>
                </c:pt>
                <c:pt idx="85">
                  <c:v>-0.28834755104705889</c:v>
                </c:pt>
                <c:pt idx="86">
                  <c:v>-0.28839508626374133</c:v>
                </c:pt>
                <c:pt idx="87">
                  <c:v>-0.28849015669710626</c:v>
                </c:pt>
                <c:pt idx="88">
                  <c:v>-0.28850600176933372</c:v>
                </c:pt>
                <c:pt idx="89">
                  <c:v>-0.28927448777236653</c:v>
                </c:pt>
                <c:pt idx="90">
                  <c:v>-0.28796726931359939</c:v>
                </c:pt>
                <c:pt idx="91">
                  <c:v>-0.28307114199530797</c:v>
                </c:pt>
                <c:pt idx="92">
                  <c:v>-0.28150247984478738</c:v>
                </c:pt>
                <c:pt idx="93">
                  <c:v>-0.29473311515473355</c:v>
                </c:pt>
                <c:pt idx="94">
                  <c:v>-0.30541269383605529</c:v>
                </c:pt>
                <c:pt idx="95">
                  <c:v>-0.31835811784590673</c:v>
                </c:pt>
                <c:pt idx="96">
                  <c:v>-0.3184373432070442</c:v>
                </c:pt>
                <c:pt idx="97">
                  <c:v>-0.31724896278998316</c:v>
                </c:pt>
                <c:pt idx="98">
                  <c:v>-0.32402273116723102</c:v>
                </c:pt>
                <c:pt idx="99">
                  <c:v>-0.32841973871035679</c:v>
                </c:pt>
                <c:pt idx="100">
                  <c:v>-0.33959051463073042</c:v>
                </c:pt>
                <c:pt idx="101">
                  <c:v>-0.36299368631071893</c:v>
                </c:pt>
                <c:pt idx="102">
                  <c:v>-0.28896550886393069</c:v>
                </c:pt>
                <c:pt idx="103">
                  <c:v>-0.30501656703036828</c:v>
                </c:pt>
                <c:pt idx="104">
                  <c:v>-0.31209139177993828</c:v>
                </c:pt>
                <c:pt idx="105">
                  <c:v>-0.31218646221330315</c:v>
                </c:pt>
                <c:pt idx="106">
                  <c:v>-0.31777185017348997</c:v>
                </c:pt>
                <c:pt idx="107">
                  <c:v>-0.34000248650864495</c:v>
                </c:pt>
                <c:pt idx="108">
                  <c:v>-0.3575112913200108</c:v>
                </c:pt>
                <c:pt idx="109">
                  <c:v>-0.36908611658218515</c:v>
                </c:pt>
                <c:pt idx="110">
                  <c:v>-0.38077977988606571</c:v>
                </c:pt>
                <c:pt idx="111">
                  <c:v>-0.38077977988606571</c:v>
                </c:pt>
                <c:pt idx="112">
                  <c:v>-0.38077977988606571</c:v>
                </c:pt>
                <c:pt idx="113">
                  <c:v>-0.38556499169876479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6D-414D-A49E-2061C0F82A8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-10881</c:v>
                </c:pt>
                <c:pt idx="1">
                  <c:v>-10879</c:v>
                </c:pt>
                <c:pt idx="2">
                  <c:v>-9772</c:v>
                </c:pt>
                <c:pt idx="3">
                  <c:v>-9767</c:v>
                </c:pt>
                <c:pt idx="4">
                  <c:v>-9763</c:v>
                </c:pt>
                <c:pt idx="5">
                  <c:v>-9744.5</c:v>
                </c:pt>
                <c:pt idx="6">
                  <c:v>-9467</c:v>
                </c:pt>
                <c:pt idx="7">
                  <c:v>-9466</c:v>
                </c:pt>
                <c:pt idx="8">
                  <c:v>-9065</c:v>
                </c:pt>
                <c:pt idx="9">
                  <c:v>-9064</c:v>
                </c:pt>
                <c:pt idx="10">
                  <c:v>-9063</c:v>
                </c:pt>
                <c:pt idx="11">
                  <c:v>-9062</c:v>
                </c:pt>
                <c:pt idx="12">
                  <c:v>-9061</c:v>
                </c:pt>
                <c:pt idx="13">
                  <c:v>-8363</c:v>
                </c:pt>
                <c:pt idx="14">
                  <c:v>-7954</c:v>
                </c:pt>
                <c:pt idx="15">
                  <c:v>-7950</c:v>
                </c:pt>
                <c:pt idx="16">
                  <c:v>-7651</c:v>
                </c:pt>
                <c:pt idx="17">
                  <c:v>-7253</c:v>
                </c:pt>
                <c:pt idx="18">
                  <c:v>-7252</c:v>
                </c:pt>
                <c:pt idx="19">
                  <c:v>-7247</c:v>
                </c:pt>
                <c:pt idx="20">
                  <c:v>-6951</c:v>
                </c:pt>
                <c:pt idx="21">
                  <c:v>-6950</c:v>
                </c:pt>
                <c:pt idx="22">
                  <c:v>-6949</c:v>
                </c:pt>
                <c:pt idx="23">
                  <c:v>-6944</c:v>
                </c:pt>
                <c:pt idx="24">
                  <c:v>-6841</c:v>
                </c:pt>
                <c:pt idx="25">
                  <c:v>-6545</c:v>
                </c:pt>
                <c:pt idx="26">
                  <c:v>-6542</c:v>
                </c:pt>
                <c:pt idx="27">
                  <c:v>-6538</c:v>
                </c:pt>
                <c:pt idx="28">
                  <c:v>-5728</c:v>
                </c:pt>
                <c:pt idx="29">
                  <c:v>-5137</c:v>
                </c:pt>
                <c:pt idx="30">
                  <c:v>-4729</c:v>
                </c:pt>
                <c:pt idx="31">
                  <c:v>-4729</c:v>
                </c:pt>
                <c:pt idx="32">
                  <c:v>-4727</c:v>
                </c:pt>
                <c:pt idx="33">
                  <c:v>-4017</c:v>
                </c:pt>
                <c:pt idx="34">
                  <c:v>-3611</c:v>
                </c:pt>
                <c:pt idx="35">
                  <c:v>-3223</c:v>
                </c:pt>
                <c:pt idx="36">
                  <c:v>-3220</c:v>
                </c:pt>
                <c:pt idx="37">
                  <c:v>-2226</c:v>
                </c:pt>
                <c:pt idx="38">
                  <c:v>-2225</c:v>
                </c:pt>
                <c:pt idx="39">
                  <c:v>-2224</c:v>
                </c:pt>
                <c:pt idx="40">
                  <c:v>-1813</c:v>
                </c:pt>
                <c:pt idx="41">
                  <c:v>-1812</c:v>
                </c:pt>
                <c:pt idx="42">
                  <c:v>-1811</c:v>
                </c:pt>
                <c:pt idx="43">
                  <c:v>-1112</c:v>
                </c:pt>
                <c:pt idx="44">
                  <c:v>-698</c:v>
                </c:pt>
                <c:pt idx="45">
                  <c:v>-697</c:v>
                </c:pt>
                <c:pt idx="46">
                  <c:v>-404</c:v>
                </c:pt>
                <c:pt idx="47">
                  <c:v>-1</c:v>
                </c:pt>
                <c:pt idx="48">
                  <c:v>0</c:v>
                </c:pt>
                <c:pt idx="49">
                  <c:v>12726</c:v>
                </c:pt>
                <c:pt idx="50">
                  <c:v>12726</c:v>
                </c:pt>
                <c:pt idx="51">
                  <c:v>15163</c:v>
                </c:pt>
                <c:pt idx="52">
                  <c:v>10494</c:v>
                </c:pt>
                <c:pt idx="53">
                  <c:v>10494</c:v>
                </c:pt>
                <c:pt idx="54">
                  <c:v>10496</c:v>
                </c:pt>
                <c:pt idx="55">
                  <c:v>10496</c:v>
                </c:pt>
                <c:pt idx="56">
                  <c:v>10494</c:v>
                </c:pt>
                <c:pt idx="57">
                  <c:v>10496</c:v>
                </c:pt>
                <c:pt idx="58">
                  <c:v>10853.5</c:v>
                </c:pt>
                <c:pt idx="59">
                  <c:v>10903</c:v>
                </c:pt>
                <c:pt idx="60">
                  <c:v>10903</c:v>
                </c:pt>
                <c:pt idx="61">
                  <c:v>13725</c:v>
                </c:pt>
                <c:pt idx="62">
                  <c:v>11599</c:v>
                </c:pt>
                <c:pt idx="63">
                  <c:v>12712</c:v>
                </c:pt>
                <c:pt idx="64">
                  <c:v>12721</c:v>
                </c:pt>
                <c:pt idx="65">
                  <c:v>13426</c:v>
                </c:pt>
                <c:pt idx="66">
                  <c:v>5048</c:v>
                </c:pt>
                <c:pt idx="67">
                  <c:v>5052</c:v>
                </c:pt>
                <c:pt idx="68">
                  <c:v>5454</c:v>
                </c:pt>
                <c:pt idx="69">
                  <c:v>9788</c:v>
                </c:pt>
                <c:pt idx="70">
                  <c:v>9789</c:v>
                </c:pt>
                <c:pt idx="71">
                  <c:v>9793</c:v>
                </c:pt>
                <c:pt idx="72">
                  <c:v>10200</c:v>
                </c:pt>
                <c:pt idx="73">
                  <c:v>10205</c:v>
                </c:pt>
                <c:pt idx="74">
                  <c:v>10493</c:v>
                </c:pt>
                <c:pt idx="75">
                  <c:v>10894</c:v>
                </c:pt>
                <c:pt idx="76">
                  <c:v>10902</c:v>
                </c:pt>
                <c:pt idx="77">
                  <c:v>10902</c:v>
                </c:pt>
                <c:pt idx="78">
                  <c:v>10907</c:v>
                </c:pt>
                <c:pt idx="79">
                  <c:v>10496</c:v>
                </c:pt>
                <c:pt idx="80">
                  <c:v>6167</c:v>
                </c:pt>
                <c:pt idx="81">
                  <c:v>13424</c:v>
                </c:pt>
                <c:pt idx="82">
                  <c:v>13423</c:v>
                </c:pt>
                <c:pt idx="83">
                  <c:v>14531</c:v>
                </c:pt>
                <c:pt idx="84">
                  <c:v>15516.5</c:v>
                </c:pt>
                <c:pt idx="85">
                  <c:v>15566</c:v>
                </c:pt>
                <c:pt idx="86">
                  <c:v>15569</c:v>
                </c:pt>
                <c:pt idx="87">
                  <c:v>15575</c:v>
                </c:pt>
                <c:pt idx="88">
                  <c:v>15576</c:v>
                </c:pt>
                <c:pt idx="89">
                  <c:v>15624.5</c:v>
                </c:pt>
                <c:pt idx="90">
                  <c:v>15542</c:v>
                </c:pt>
                <c:pt idx="91">
                  <c:v>15233</c:v>
                </c:pt>
                <c:pt idx="92">
                  <c:v>15134</c:v>
                </c:pt>
                <c:pt idx="93">
                  <c:v>15969</c:v>
                </c:pt>
                <c:pt idx="94">
                  <c:v>16643</c:v>
                </c:pt>
                <c:pt idx="95">
                  <c:v>17460</c:v>
                </c:pt>
                <c:pt idx="96">
                  <c:v>17465</c:v>
                </c:pt>
                <c:pt idx="97">
                  <c:v>17390</c:v>
                </c:pt>
                <c:pt idx="98">
                  <c:v>17817.5</c:v>
                </c:pt>
                <c:pt idx="99">
                  <c:v>18095</c:v>
                </c:pt>
                <c:pt idx="100">
                  <c:v>18800</c:v>
                </c:pt>
                <c:pt idx="101">
                  <c:v>20277</c:v>
                </c:pt>
                <c:pt idx="102">
                  <c:v>15605</c:v>
                </c:pt>
                <c:pt idx="103">
                  <c:v>16618</c:v>
                </c:pt>
                <c:pt idx="104">
                  <c:v>17064.5</c:v>
                </c:pt>
                <c:pt idx="105">
                  <c:v>17070.5</c:v>
                </c:pt>
                <c:pt idx="106">
                  <c:v>17423</c:v>
                </c:pt>
                <c:pt idx="107">
                  <c:v>18826</c:v>
                </c:pt>
                <c:pt idx="108">
                  <c:v>19931</c:v>
                </c:pt>
                <c:pt idx="109">
                  <c:v>20661.5</c:v>
                </c:pt>
                <c:pt idx="110">
                  <c:v>21399.5</c:v>
                </c:pt>
                <c:pt idx="111">
                  <c:v>21399.5</c:v>
                </c:pt>
                <c:pt idx="112">
                  <c:v>21399.5</c:v>
                </c:pt>
                <c:pt idx="113">
                  <c:v>21701.5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0.23655399999915971</c:v>
                </c:pt>
                <c:pt idx="66">
                  <c:v>-0.21425599999929545</c:v>
                </c:pt>
                <c:pt idx="67">
                  <c:v>-0.2419439999939641</c:v>
                </c:pt>
                <c:pt idx="68">
                  <c:v>-0.22708799999963958</c:v>
                </c:pt>
                <c:pt idx="80">
                  <c:v>0.12327600000571692</c:v>
                </c:pt>
                <c:pt idx="98">
                  <c:v>-0.61427999999432359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6D-414D-A49E-2061C0F82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886336"/>
        <c:axId val="1"/>
      </c:scatterChart>
      <c:valAx>
        <c:axId val="8708863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5048891759194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73186119873815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886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19242902208201"/>
          <c:y val="0.92024539877300615"/>
          <c:w val="0.7586750788643532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495300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181C46D5-5C02-3DC3-9AAF-393AC52B6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0</xdr:rowOff>
    </xdr:from>
    <xdr:to>
      <xdr:col>26</xdr:col>
      <xdr:colOff>133350</xdr:colOff>
      <xdr:row>18</xdr:row>
      <xdr:rowOff>28575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25F69904-2156-B21A-4CDC-40CC2D708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577" TargetMode="External"/><Relationship Id="rId18" Type="http://schemas.openxmlformats.org/officeDocument/2006/relationships/hyperlink" Target="http://www.konkoly.hu/cgi-bin/IBVS?5577" TargetMode="External"/><Relationship Id="rId26" Type="http://schemas.openxmlformats.org/officeDocument/2006/relationships/hyperlink" Target="http://www.konkoly.hu/cgi-bin/IBVS?5893" TargetMode="External"/><Relationship Id="rId3" Type="http://schemas.openxmlformats.org/officeDocument/2006/relationships/hyperlink" Target="http://www.bav-astro.de/sfs/BAVM_link.php?BAVMnr=68" TargetMode="External"/><Relationship Id="rId21" Type="http://schemas.openxmlformats.org/officeDocument/2006/relationships/hyperlink" Target="http://www.konkoly.hu/cgi-bin/IBVS?5893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konkoly.hu/cgi-bin/IBVS?5577" TargetMode="External"/><Relationship Id="rId20" Type="http://schemas.openxmlformats.org/officeDocument/2006/relationships/hyperlink" Target="http://vsolj.cetus-net.org/no46.pdf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4888" TargetMode="External"/><Relationship Id="rId11" Type="http://schemas.openxmlformats.org/officeDocument/2006/relationships/hyperlink" Target="http://www.konkoly.hu/cgi-bin/IBVS?5577" TargetMode="External"/><Relationship Id="rId24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konkoly.hu/cgi-bin/IBVS?5577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www.konkoly.hu/cgi-bin/IBVS?5988" TargetMode="External"/><Relationship Id="rId10" Type="http://schemas.openxmlformats.org/officeDocument/2006/relationships/hyperlink" Target="http://www.konkoly.hu/cgi-bin/IBVS?5616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577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konkoly.hu/cgi-bin/IBVS?5893" TargetMode="External"/><Relationship Id="rId30" Type="http://schemas.openxmlformats.org/officeDocument/2006/relationships/hyperlink" Target="http://www.konkoly.hu/cgi-bin/IBVS?6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73"/>
  <sheetViews>
    <sheetView tabSelected="1" workbookViewId="0">
      <pane xSplit="14" ySplit="22" topLeftCell="O122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62</v>
      </c>
    </row>
    <row r="2" spans="1:6" x14ac:dyDescent="0.2">
      <c r="A2" t="s">
        <v>26</v>
      </c>
      <c r="B2" s="9" t="s">
        <v>63</v>
      </c>
    </row>
    <row r="4" spans="1:6" ht="14.25" thickTop="1" thickBot="1" x14ac:dyDescent="0.25">
      <c r="A4" s="5" t="s">
        <v>2</v>
      </c>
      <c r="C4" s="2">
        <v>37376.43</v>
      </c>
      <c r="D4" s="3">
        <v>1.007172</v>
      </c>
    </row>
    <row r="5" spans="1:6" ht="13.5" thickTop="1" x14ac:dyDescent="0.2">
      <c r="A5" s="11" t="s">
        <v>64</v>
      </c>
      <c r="B5" s="12"/>
      <c r="C5" s="13">
        <v>-9.5</v>
      </c>
      <c r="D5" s="12" t="s">
        <v>65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37376.43</v>
      </c>
    </row>
    <row r="8" spans="1:6" x14ac:dyDescent="0.2">
      <c r="A8" t="s">
        <v>5</v>
      </c>
      <c r="C8">
        <f>+D4</f>
        <v>1.007172</v>
      </c>
    </row>
    <row r="9" spans="1:6" x14ac:dyDescent="0.2">
      <c r="A9" s="26" t="s">
        <v>69</v>
      </c>
      <c r="B9" s="27">
        <v>88</v>
      </c>
      <c r="C9" s="16" t="str">
        <f>"F"&amp;B9</f>
        <v>F88</v>
      </c>
      <c r="D9" s="8" t="str">
        <f>"G"&amp;B9</f>
        <v>G88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14">
        <f ca="1">INTERCEPT(INDIRECT($D$9):G992,INDIRECT($C$9):F992)</f>
        <v>-4.1703156754099441E-2</v>
      </c>
      <c r="D11" s="15"/>
      <c r="E11" s="12"/>
    </row>
    <row r="12" spans="1:6" x14ac:dyDescent="0.2">
      <c r="A12" s="12" t="s">
        <v>19</v>
      </c>
      <c r="B12" s="12"/>
      <c r="C12" s="14">
        <f ca="1">SLOPE(INDIRECT($D$9):G992,INDIRECT($C$9):F992)</f>
        <v>-1.5845072227480373E-5</v>
      </c>
      <c r="D12" s="15"/>
      <c r="E12" s="12"/>
    </row>
    <row r="13" spans="1:6" x14ac:dyDescent="0.2">
      <c r="A13" s="12" t="s">
        <v>21</v>
      </c>
      <c r="B13" s="12"/>
      <c r="C13" s="15" t="s">
        <v>16</v>
      </c>
    </row>
    <row r="14" spans="1:6" x14ac:dyDescent="0.2">
      <c r="A14" s="12"/>
      <c r="B14" s="12"/>
      <c r="C14" s="12"/>
    </row>
    <row r="15" spans="1:6" x14ac:dyDescent="0.2">
      <c r="A15" s="17" t="s">
        <v>20</v>
      </c>
      <c r="B15" s="12"/>
      <c r="C15" s="18">
        <f ca="1">(C7+C11)+(C8+C12)*INT(MAX(F21:F3533))</f>
        <v>59232.684014930841</v>
      </c>
      <c r="E15" s="19" t="s">
        <v>75</v>
      </c>
      <c r="F15" s="13">
        <v>1</v>
      </c>
    </row>
    <row r="16" spans="1:6" x14ac:dyDescent="0.2">
      <c r="A16" s="21" t="s">
        <v>6</v>
      </c>
      <c r="B16" s="12"/>
      <c r="C16" s="22">
        <f ca="1">+C8+C12</f>
        <v>1.0071561549277726</v>
      </c>
      <c r="E16" s="19" t="s">
        <v>66</v>
      </c>
      <c r="F16" s="20">
        <f ca="1">NOW()+15018.5+$C$5/24</f>
        <v>59961.732463657405</v>
      </c>
    </row>
    <row r="17" spans="1:21" ht="13.5" thickBot="1" x14ac:dyDescent="0.25">
      <c r="A17" s="19" t="s">
        <v>61</v>
      </c>
      <c r="B17" s="12"/>
      <c r="C17" s="12">
        <f>COUNT(C21:C2191)</f>
        <v>114</v>
      </c>
      <c r="E17" s="19" t="s">
        <v>76</v>
      </c>
      <c r="F17" s="20">
        <f ca="1">ROUND(2*(F16-$C$7)/$C$8,0)/2+F15</f>
        <v>22425.5</v>
      </c>
    </row>
    <row r="18" spans="1:21" ht="14.25" thickTop="1" thickBot="1" x14ac:dyDescent="0.25">
      <c r="A18" s="21" t="s">
        <v>7</v>
      </c>
      <c r="B18" s="12"/>
      <c r="C18" s="24">
        <f ca="1">+C15</f>
        <v>59232.684014930841</v>
      </c>
      <c r="D18" s="25">
        <f ca="1">+C16</f>
        <v>1.0071561549277726</v>
      </c>
      <c r="E18" s="19" t="s">
        <v>67</v>
      </c>
      <c r="F18" s="8">
        <f ca="1">ROUND(2*(F16-$C$15)/$C$16,0)/2+F15</f>
        <v>725</v>
      </c>
    </row>
    <row r="19" spans="1:21" ht="13.5" thickTop="1" x14ac:dyDescent="0.2">
      <c r="E19" s="19" t="s">
        <v>68</v>
      </c>
      <c r="F19" s="23">
        <f ca="1">+$C$15+$C$16*F18-15018.5-$C$5/24</f>
        <v>44944.768060586815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90</v>
      </c>
      <c r="I20" s="7" t="s">
        <v>92</v>
      </c>
      <c r="J20" s="7" t="s">
        <v>87</v>
      </c>
      <c r="K20" s="7" t="s">
        <v>85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67" t="s">
        <v>491</v>
      </c>
    </row>
    <row r="21" spans="1:21" s="28" customFormat="1" ht="12.75" customHeight="1" x14ac:dyDescent="0.2">
      <c r="A21" s="64" t="s">
        <v>99</v>
      </c>
      <c r="B21" s="66" t="s">
        <v>31</v>
      </c>
      <c r="C21" s="65">
        <v>26417.387999999999</v>
      </c>
      <c r="D21" s="29"/>
      <c r="E21" s="28">
        <f t="shared" ref="E21:E52" si="0">+(C21-C$7)/C$8</f>
        <v>-10881.00344330462</v>
      </c>
      <c r="F21" s="28">
        <f t="shared" ref="F21:F52" si="1">ROUND(2*E21,0)/2</f>
        <v>-10881</v>
      </c>
      <c r="G21" s="28">
        <f>+C21-(C$7+F21*C$8)</f>
        <v>-3.4680000026128255E-3</v>
      </c>
      <c r="H21" s="28">
        <f>+G21</f>
        <v>-3.4680000026128255E-3</v>
      </c>
      <c r="Q21" s="30">
        <f t="shared" ref="Q21:Q52" si="2">+C21-15018.5</f>
        <v>11398.887999999999</v>
      </c>
    </row>
    <row r="22" spans="1:21" s="28" customFormat="1" ht="12.75" customHeight="1" x14ac:dyDescent="0.2">
      <c r="A22" s="64" t="s">
        <v>99</v>
      </c>
      <c r="B22" s="66" t="s">
        <v>31</v>
      </c>
      <c r="C22" s="65">
        <v>26419.396000000001</v>
      </c>
      <c r="D22" s="29"/>
      <c r="E22" s="28">
        <f t="shared" si="0"/>
        <v>-10879.009742129449</v>
      </c>
      <c r="F22" s="28">
        <f t="shared" si="1"/>
        <v>-10879</v>
      </c>
      <c r="G22" s="28">
        <f>+C22-(C$7+F22*C$8)</f>
        <v>-9.8120000002381857E-3</v>
      </c>
      <c r="H22" s="28">
        <f>+G22</f>
        <v>-9.8120000002381857E-3</v>
      </c>
      <c r="Q22" s="30">
        <f t="shared" si="2"/>
        <v>11400.896000000001</v>
      </c>
    </row>
    <row r="23" spans="1:21" s="28" customFormat="1" ht="12.75" customHeight="1" x14ac:dyDescent="0.2">
      <c r="A23" s="64" t="s">
        <v>99</v>
      </c>
      <c r="B23" s="66" t="s">
        <v>31</v>
      </c>
      <c r="C23" s="65">
        <v>27534.37</v>
      </c>
      <c r="D23" s="29"/>
      <c r="E23" s="28">
        <f t="shared" si="0"/>
        <v>-9771.9753924850993</v>
      </c>
      <c r="F23" s="28">
        <f t="shared" si="1"/>
        <v>-9772</v>
      </c>
      <c r="G23" s="28">
        <f>+C23-(C$7+F23*C$8)</f>
        <v>2.4783999997453066E-2</v>
      </c>
      <c r="H23" s="28">
        <f>+G23</f>
        <v>2.4783999997453066E-2</v>
      </c>
      <c r="Q23" s="30">
        <f t="shared" si="2"/>
        <v>12515.869999999999</v>
      </c>
    </row>
    <row r="24" spans="1:21" s="28" customFormat="1" ht="12.75" customHeight="1" x14ac:dyDescent="0.2">
      <c r="A24" s="64" t="s">
        <v>99</v>
      </c>
      <c r="B24" s="66" t="s">
        <v>31</v>
      </c>
      <c r="C24" s="65">
        <v>27539.371999999999</v>
      </c>
      <c r="D24" s="29"/>
      <c r="E24" s="28">
        <f t="shared" si="0"/>
        <v>-9767.0090113704518</v>
      </c>
      <c r="F24" s="28">
        <f t="shared" si="1"/>
        <v>-9767</v>
      </c>
      <c r="G24" s="28">
        <f>+C24-(C$7+F24*C$8)</f>
        <v>-9.0760000020964071E-3</v>
      </c>
      <c r="H24" s="28">
        <f>+G24</f>
        <v>-9.0760000020964071E-3</v>
      </c>
      <c r="Q24" s="30">
        <f t="shared" si="2"/>
        <v>12520.871999999999</v>
      </c>
    </row>
    <row r="25" spans="1:21" s="28" customFormat="1" ht="12.75" customHeight="1" x14ac:dyDescent="0.2">
      <c r="A25" s="64" t="s">
        <v>99</v>
      </c>
      <c r="B25" s="66" t="s">
        <v>31</v>
      </c>
      <c r="C25" s="65">
        <v>27543.385999999999</v>
      </c>
      <c r="D25" s="29"/>
      <c r="E25" s="28">
        <f t="shared" si="0"/>
        <v>-9763.023594778253</v>
      </c>
      <c r="F25" s="28">
        <f t="shared" si="1"/>
        <v>-9763</v>
      </c>
      <c r="G25" s="28">
        <f>+C25-(C$7+F25*C$8)</f>
        <v>-2.376400000139256E-2</v>
      </c>
      <c r="H25" s="28">
        <f>+G25</f>
        <v>-2.376400000139256E-2</v>
      </c>
      <c r="Q25" s="30">
        <f t="shared" si="2"/>
        <v>12524.885999999999</v>
      </c>
    </row>
    <row r="26" spans="1:21" s="28" customFormat="1" ht="12.75" customHeight="1" x14ac:dyDescent="0.2">
      <c r="A26" s="64" t="s">
        <v>117</v>
      </c>
      <c r="B26" s="66" t="s">
        <v>31</v>
      </c>
      <c r="C26" s="65">
        <v>27562.278999999999</v>
      </c>
      <c r="D26" s="29"/>
      <c r="E26" s="28">
        <f t="shared" si="0"/>
        <v>-9744.2651304841693</v>
      </c>
      <c r="F26" s="28">
        <f t="shared" si="1"/>
        <v>-9744.5</v>
      </c>
      <c r="H26" s="28">
        <f>+U26</f>
        <v>0.23655399999915971</v>
      </c>
      <c r="Q26" s="30">
        <f t="shared" si="2"/>
        <v>12543.778999999999</v>
      </c>
      <c r="U26" s="28">
        <f>+C26-(C$7+F26*C$8)</f>
        <v>0.23655399999915971</v>
      </c>
    </row>
    <row r="27" spans="1:21" s="28" customFormat="1" ht="12.75" customHeight="1" x14ac:dyDescent="0.2">
      <c r="A27" s="64" t="s">
        <v>99</v>
      </c>
      <c r="B27" s="66" t="s">
        <v>31</v>
      </c>
      <c r="C27" s="65">
        <v>27841.524000000001</v>
      </c>
      <c r="D27" s="29"/>
      <c r="E27" s="28">
        <f t="shared" si="0"/>
        <v>-9467.0086142188229</v>
      </c>
      <c r="F27" s="28">
        <f t="shared" si="1"/>
        <v>-9467</v>
      </c>
      <c r="G27" s="28">
        <f t="shared" ref="G27:G69" si="3">+C27-(C$7+F27*C$8)</f>
        <v>-8.6760000012873206E-3</v>
      </c>
      <c r="H27" s="28">
        <f t="shared" ref="H27:H69" si="4">+G27</f>
        <v>-8.6760000012873206E-3</v>
      </c>
      <c r="Q27" s="30">
        <f t="shared" si="2"/>
        <v>12823.024000000001</v>
      </c>
    </row>
    <row r="28" spans="1:21" s="28" customFormat="1" ht="12.75" customHeight="1" x14ac:dyDescent="0.2">
      <c r="A28" s="64" t="s">
        <v>99</v>
      </c>
      <c r="B28" s="66" t="s">
        <v>31</v>
      </c>
      <c r="C28" s="65">
        <v>27842.531999999999</v>
      </c>
      <c r="D28" s="29"/>
      <c r="E28" s="28">
        <f t="shared" si="0"/>
        <v>-9466.0077921149532</v>
      </c>
      <c r="F28" s="28">
        <f t="shared" si="1"/>
        <v>-9466</v>
      </c>
      <c r="G28" s="28">
        <f t="shared" si="3"/>
        <v>-7.8480000011040829E-3</v>
      </c>
      <c r="H28" s="28">
        <f t="shared" si="4"/>
        <v>-7.8480000011040829E-3</v>
      </c>
      <c r="Q28" s="30">
        <f t="shared" si="2"/>
        <v>12824.031999999999</v>
      </c>
    </row>
    <row r="29" spans="1:21" s="28" customFormat="1" ht="12.75" customHeight="1" x14ac:dyDescent="0.2">
      <c r="A29" s="64" t="s">
        <v>99</v>
      </c>
      <c r="B29" s="66" t="s">
        <v>31</v>
      </c>
      <c r="C29" s="65">
        <v>28246.433000000001</v>
      </c>
      <c r="D29" s="29"/>
      <c r="E29" s="28">
        <f t="shared" si="0"/>
        <v>-9064.9829423375541</v>
      </c>
      <c r="F29" s="28">
        <f t="shared" si="1"/>
        <v>-9065</v>
      </c>
      <c r="G29" s="28">
        <f t="shared" si="3"/>
        <v>1.7179999998916173E-2</v>
      </c>
      <c r="H29" s="28">
        <f t="shared" si="4"/>
        <v>1.7179999998916173E-2</v>
      </c>
      <c r="Q29" s="30">
        <f t="shared" si="2"/>
        <v>13227.933000000001</v>
      </c>
    </row>
    <row r="30" spans="1:21" s="28" customFormat="1" ht="12.75" customHeight="1" x14ac:dyDescent="0.2">
      <c r="A30" s="64" t="s">
        <v>99</v>
      </c>
      <c r="B30" s="66" t="s">
        <v>31</v>
      </c>
      <c r="C30" s="65">
        <v>28247.39</v>
      </c>
      <c r="D30" s="29"/>
      <c r="E30" s="28">
        <f t="shared" si="0"/>
        <v>-9064.0327570663212</v>
      </c>
      <c r="F30" s="28">
        <f t="shared" si="1"/>
        <v>-9064</v>
      </c>
      <c r="G30" s="28">
        <f t="shared" si="3"/>
        <v>-3.299200000037672E-2</v>
      </c>
      <c r="H30" s="28">
        <f t="shared" si="4"/>
        <v>-3.299200000037672E-2</v>
      </c>
      <c r="Q30" s="30">
        <f t="shared" si="2"/>
        <v>13228.89</v>
      </c>
    </row>
    <row r="31" spans="1:21" s="28" customFormat="1" ht="12.75" customHeight="1" x14ac:dyDescent="0.2">
      <c r="A31" s="64" t="s">
        <v>99</v>
      </c>
      <c r="B31" s="66" t="s">
        <v>31</v>
      </c>
      <c r="C31" s="65">
        <v>28248.407999999999</v>
      </c>
      <c r="D31" s="29"/>
      <c r="E31" s="28">
        <f t="shared" si="0"/>
        <v>-9063.0220061717373</v>
      </c>
      <c r="F31" s="28">
        <f t="shared" si="1"/>
        <v>-9063</v>
      </c>
      <c r="G31" s="28">
        <f t="shared" si="3"/>
        <v>-2.2164000001794193E-2</v>
      </c>
      <c r="H31" s="28">
        <f t="shared" si="4"/>
        <v>-2.2164000001794193E-2</v>
      </c>
      <c r="Q31" s="30">
        <f t="shared" si="2"/>
        <v>13229.907999999999</v>
      </c>
    </row>
    <row r="32" spans="1:21" s="28" customFormat="1" ht="12.75" customHeight="1" x14ac:dyDescent="0.2">
      <c r="A32" s="64" t="s">
        <v>99</v>
      </c>
      <c r="B32" s="66" t="s">
        <v>31</v>
      </c>
      <c r="C32" s="65">
        <v>28249.435000000001</v>
      </c>
      <c r="D32" s="29"/>
      <c r="E32" s="28">
        <f t="shared" si="0"/>
        <v>-9062.0023193655106</v>
      </c>
      <c r="F32" s="28">
        <f t="shared" si="1"/>
        <v>-9062</v>
      </c>
      <c r="G32" s="28">
        <f t="shared" si="3"/>
        <v>-2.3360000013781246E-3</v>
      </c>
      <c r="H32" s="28">
        <f t="shared" si="4"/>
        <v>-2.3360000013781246E-3</v>
      </c>
      <c r="Q32" s="30">
        <f t="shared" si="2"/>
        <v>13230.935000000001</v>
      </c>
    </row>
    <row r="33" spans="1:17" s="28" customFormat="1" ht="12.75" customHeight="1" x14ac:dyDescent="0.2">
      <c r="A33" s="64" t="s">
        <v>99</v>
      </c>
      <c r="B33" s="66" t="s">
        <v>31</v>
      </c>
      <c r="C33" s="65">
        <v>28250.397000000001</v>
      </c>
      <c r="D33" s="29"/>
      <c r="E33" s="28">
        <f t="shared" si="0"/>
        <v>-9061.0471696989189</v>
      </c>
      <c r="F33" s="28">
        <f t="shared" si="1"/>
        <v>-9061</v>
      </c>
      <c r="G33" s="28">
        <f t="shared" si="3"/>
        <v>-4.7507999999652384E-2</v>
      </c>
      <c r="H33" s="28">
        <f t="shared" si="4"/>
        <v>-4.7507999999652384E-2</v>
      </c>
      <c r="Q33" s="30">
        <f t="shared" si="2"/>
        <v>13231.897000000001</v>
      </c>
    </row>
    <row r="34" spans="1:17" s="28" customFormat="1" ht="12.75" customHeight="1" x14ac:dyDescent="0.2">
      <c r="A34" s="64" t="s">
        <v>99</v>
      </c>
      <c r="B34" s="66" t="s">
        <v>31</v>
      </c>
      <c r="C34" s="65">
        <v>28953.455999999998</v>
      </c>
      <c r="D34" s="29"/>
      <c r="E34" s="28">
        <f t="shared" si="0"/>
        <v>-8362.9946027093702</v>
      </c>
      <c r="F34" s="28">
        <f t="shared" si="1"/>
        <v>-8363</v>
      </c>
      <c r="G34" s="28">
        <f t="shared" si="3"/>
        <v>5.4359999994630925E-3</v>
      </c>
      <c r="H34" s="28">
        <f t="shared" si="4"/>
        <v>5.4359999994630925E-3</v>
      </c>
      <c r="Q34" s="30">
        <f t="shared" si="2"/>
        <v>13934.955999999998</v>
      </c>
    </row>
    <row r="35" spans="1:17" s="28" customFormat="1" ht="12.75" customHeight="1" x14ac:dyDescent="0.2">
      <c r="A35" s="64" t="s">
        <v>99</v>
      </c>
      <c r="B35" s="66" t="s">
        <v>31</v>
      </c>
      <c r="C35" s="65">
        <v>29365.39</v>
      </c>
      <c r="D35" s="29"/>
      <c r="E35" s="28">
        <f t="shared" si="0"/>
        <v>-7953.9939553522154</v>
      </c>
      <c r="F35" s="28">
        <f t="shared" si="1"/>
        <v>-7954</v>
      </c>
      <c r="G35" s="28">
        <f t="shared" si="3"/>
        <v>6.0879999982716981E-3</v>
      </c>
      <c r="H35" s="28">
        <f t="shared" si="4"/>
        <v>6.0879999982716981E-3</v>
      </c>
      <c r="Q35" s="30">
        <f t="shared" si="2"/>
        <v>14346.89</v>
      </c>
    </row>
    <row r="36" spans="1:17" s="28" customFormat="1" ht="12.75" customHeight="1" x14ac:dyDescent="0.2">
      <c r="A36" s="64" t="s">
        <v>99</v>
      </c>
      <c r="B36" s="66" t="s">
        <v>31</v>
      </c>
      <c r="C36" s="65">
        <v>29369.418000000001</v>
      </c>
      <c r="D36" s="29"/>
      <c r="E36" s="28">
        <f t="shared" si="0"/>
        <v>-7949.994638453014</v>
      </c>
      <c r="F36" s="28">
        <f t="shared" si="1"/>
        <v>-7950</v>
      </c>
      <c r="G36" s="28">
        <f t="shared" si="3"/>
        <v>5.4000000018277206E-3</v>
      </c>
      <c r="H36" s="28">
        <f t="shared" si="4"/>
        <v>5.4000000018277206E-3</v>
      </c>
      <c r="Q36" s="30">
        <f t="shared" si="2"/>
        <v>14350.918000000001</v>
      </c>
    </row>
    <row r="37" spans="1:17" s="28" customFormat="1" ht="12.75" customHeight="1" x14ac:dyDescent="0.2">
      <c r="A37" s="64" t="s">
        <v>99</v>
      </c>
      <c r="B37" s="66" t="s">
        <v>31</v>
      </c>
      <c r="C37" s="65">
        <v>29670.528999999999</v>
      </c>
      <c r="D37" s="29"/>
      <c r="E37" s="28">
        <f t="shared" si="0"/>
        <v>-7651.0278284146125</v>
      </c>
      <c r="F37" s="28">
        <f t="shared" si="1"/>
        <v>-7651</v>
      </c>
      <c r="G37" s="28">
        <f t="shared" si="3"/>
        <v>-2.8028000000631437E-2</v>
      </c>
      <c r="H37" s="28">
        <f t="shared" si="4"/>
        <v>-2.8028000000631437E-2</v>
      </c>
      <c r="Q37" s="30">
        <f t="shared" si="2"/>
        <v>14652.028999999999</v>
      </c>
    </row>
    <row r="38" spans="1:17" s="28" customFormat="1" ht="12.75" customHeight="1" x14ac:dyDescent="0.2">
      <c r="A38" s="64" t="s">
        <v>99</v>
      </c>
      <c r="B38" s="66" t="s">
        <v>31</v>
      </c>
      <c r="C38" s="65">
        <v>30071.401999999998</v>
      </c>
      <c r="D38" s="29"/>
      <c r="E38" s="28">
        <f t="shared" si="0"/>
        <v>-7253.0094164651146</v>
      </c>
      <c r="F38" s="28">
        <f t="shared" si="1"/>
        <v>-7253</v>
      </c>
      <c r="G38" s="28">
        <f t="shared" si="3"/>
        <v>-9.4840000019758008E-3</v>
      </c>
      <c r="H38" s="28">
        <f t="shared" si="4"/>
        <v>-9.4840000019758008E-3</v>
      </c>
      <c r="Q38" s="30">
        <f t="shared" si="2"/>
        <v>15052.901999999998</v>
      </c>
    </row>
    <row r="39" spans="1:17" s="28" customFormat="1" ht="12.75" customHeight="1" x14ac:dyDescent="0.2">
      <c r="A39" s="64" t="s">
        <v>99</v>
      </c>
      <c r="B39" s="66" t="s">
        <v>31</v>
      </c>
      <c r="C39" s="65">
        <v>30072.425999999999</v>
      </c>
      <c r="D39" s="29"/>
      <c r="E39" s="28">
        <f t="shared" si="0"/>
        <v>-7251.9927082961012</v>
      </c>
      <c r="F39" s="28">
        <f t="shared" si="1"/>
        <v>-7252</v>
      </c>
      <c r="G39" s="28">
        <f t="shared" si="3"/>
        <v>7.3439999978290871E-3</v>
      </c>
      <c r="H39" s="28">
        <f t="shared" si="4"/>
        <v>7.3439999978290871E-3</v>
      </c>
      <c r="Q39" s="30">
        <f t="shared" si="2"/>
        <v>15053.925999999999</v>
      </c>
    </row>
    <row r="40" spans="1:17" s="28" customFormat="1" ht="12.75" customHeight="1" x14ac:dyDescent="0.2">
      <c r="A40" s="64" t="s">
        <v>99</v>
      </c>
      <c r="B40" s="66" t="s">
        <v>31</v>
      </c>
      <c r="C40" s="65">
        <v>30077.446</v>
      </c>
      <c r="D40" s="29"/>
      <c r="E40" s="28">
        <f t="shared" si="0"/>
        <v>-7247.0084553581719</v>
      </c>
      <c r="F40" s="28">
        <f t="shared" si="1"/>
        <v>-7247</v>
      </c>
      <c r="G40" s="28">
        <f t="shared" si="3"/>
        <v>-8.5160000016912818E-3</v>
      </c>
      <c r="H40" s="28">
        <f t="shared" si="4"/>
        <v>-8.5160000016912818E-3</v>
      </c>
      <c r="Q40" s="30">
        <f t="shared" si="2"/>
        <v>15058.946</v>
      </c>
    </row>
    <row r="41" spans="1:17" s="28" customFormat="1" ht="12.75" customHeight="1" x14ac:dyDescent="0.2">
      <c r="A41" s="64" t="s">
        <v>99</v>
      </c>
      <c r="B41" s="66" t="s">
        <v>31</v>
      </c>
      <c r="C41" s="65">
        <v>30375.577000000001</v>
      </c>
      <c r="D41" s="29"/>
      <c r="E41" s="28">
        <f t="shared" si="0"/>
        <v>-6951.0004249522417</v>
      </c>
      <c r="F41" s="28">
        <f t="shared" si="1"/>
        <v>-6951</v>
      </c>
      <c r="G41" s="28">
        <f t="shared" si="3"/>
        <v>-4.2799999937415123E-4</v>
      </c>
      <c r="H41" s="28">
        <f t="shared" si="4"/>
        <v>-4.2799999937415123E-4</v>
      </c>
      <c r="Q41" s="30">
        <f t="shared" si="2"/>
        <v>15357.077000000001</v>
      </c>
    </row>
    <row r="42" spans="1:17" s="28" customFormat="1" ht="12.75" customHeight="1" x14ac:dyDescent="0.2">
      <c r="A42" s="64" t="s">
        <v>99</v>
      </c>
      <c r="B42" s="66" t="s">
        <v>31</v>
      </c>
      <c r="C42" s="65">
        <v>30376.598999999998</v>
      </c>
      <c r="D42" s="29"/>
      <c r="E42" s="28">
        <f t="shared" si="0"/>
        <v>-6949.9857025413758</v>
      </c>
      <c r="F42" s="28">
        <f t="shared" si="1"/>
        <v>-6950</v>
      </c>
      <c r="G42" s="28">
        <f t="shared" si="3"/>
        <v>1.4399999996385304E-2</v>
      </c>
      <c r="H42" s="28">
        <f t="shared" si="4"/>
        <v>1.4399999996385304E-2</v>
      </c>
      <c r="Q42" s="30">
        <f t="shared" si="2"/>
        <v>15358.098999999998</v>
      </c>
    </row>
    <row r="43" spans="1:17" s="28" customFormat="1" ht="12.75" customHeight="1" x14ac:dyDescent="0.2">
      <c r="A43" s="64" t="s">
        <v>99</v>
      </c>
      <c r="B43" s="66" t="s">
        <v>31</v>
      </c>
      <c r="C43" s="65">
        <v>30377.59</v>
      </c>
      <c r="D43" s="29"/>
      <c r="E43" s="28">
        <f t="shared" si="0"/>
        <v>-6949.0017593817147</v>
      </c>
      <c r="F43" s="28">
        <f t="shared" si="1"/>
        <v>-6949</v>
      </c>
      <c r="G43" s="28">
        <f t="shared" si="3"/>
        <v>-1.7719999996188562E-3</v>
      </c>
      <c r="H43" s="28">
        <f t="shared" si="4"/>
        <v>-1.7719999996188562E-3</v>
      </c>
      <c r="Q43" s="30">
        <f t="shared" si="2"/>
        <v>15359.09</v>
      </c>
    </row>
    <row r="44" spans="1:17" s="28" customFormat="1" ht="12.75" customHeight="1" x14ac:dyDescent="0.2">
      <c r="A44" s="64" t="s">
        <v>99</v>
      </c>
      <c r="B44" s="66" t="s">
        <v>31</v>
      </c>
      <c r="C44" s="65">
        <v>30382.65</v>
      </c>
      <c r="D44" s="29"/>
      <c r="E44" s="28">
        <f t="shared" si="0"/>
        <v>-6943.9777912809323</v>
      </c>
      <c r="F44" s="28">
        <f t="shared" si="1"/>
        <v>-6944</v>
      </c>
      <c r="G44" s="28">
        <f t="shared" si="3"/>
        <v>2.236800000173389E-2</v>
      </c>
      <c r="H44" s="28">
        <f t="shared" si="4"/>
        <v>2.236800000173389E-2</v>
      </c>
      <c r="Q44" s="30">
        <f t="shared" si="2"/>
        <v>15364.150000000001</v>
      </c>
    </row>
    <row r="45" spans="1:17" s="28" customFormat="1" ht="12.75" customHeight="1" x14ac:dyDescent="0.2">
      <c r="A45" s="64" t="s">
        <v>99</v>
      </c>
      <c r="B45" s="66" t="s">
        <v>31</v>
      </c>
      <c r="C45" s="65">
        <v>30486.384999999998</v>
      </c>
      <c r="D45" s="29"/>
      <c r="E45" s="28">
        <f t="shared" si="0"/>
        <v>-6840.9814808195642</v>
      </c>
      <c r="F45" s="28">
        <f t="shared" si="1"/>
        <v>-6841</v>
      </c>
      <c r="G45" s="28">
        <f t="shared" si="3"/>
        <v>1.8651999998837709E-2</v>
      </c>
      <c r="H45" s="28">
        <f t="shared" si="4"/>
        <v>1.8651999998837709E-2</v>
      </c>
      <c r="Q45" s="30">
        <f t="shared" si="2"/>
        <v>15467.884999999998</v>
      </c>
    </row>
    <row r="46" spans="1:17" s="28" customFormat="1" ht="12.75" customHeight="1" x14ac:dyDescent="0.2">
      <c r="A46" s="64" t="s">
        <v>99</v>
      </c>
      <c r="B46" s="66" t="s">
        <v>31</v>
      </c>
      <c r="C46" s="65">
        <v>30784.438999999998</v>
      </c>
      <c r="D46" s="29"/>
      <c r="E46" s="28">
        <f t="shared" si="0"/>
        <v>-6545.049902102126</v>
      </c>
      <c r="F46" s="28">
        <f t="shared" si="1"/>
        <v>-6545</v>
      </c>
      <c r="G46" s="28">
        <f t="shared" si="3"/>
        <v>-5.0260000003618188E-2</v>
      </c>
      <c r="H46" s="28">
        <f t="shared" si="4"/>
        <v>-5.0260000003618188E-2</v>
      </c>
      <c r="Q46" s="30">
        <f t="shared" si="2"/>
        <v>15765.938999999998</v>
      </c>
    </row>
    <row r="47" spans="1:17" s="28" customFormat="1" ht="12.75" customHeight="1" x14ac:dyDescent="0.2">
      <c r="A47" s="64" t="s">
        <v>99</v>
      </c>
      <c r="B47" s="66" t="s">
        <v>31</v>
      </c>
      <c r="C47" s="65">
        <v>30787.494999999999</v>
      </c>
      <c r="D47" s="29"/>
      <c r="E47" s="28">
        <f t="shared" si="0"/>
        <v>-6542.0156636602305</v>
      </c>
      <c r="F47" s="28">
        <f t="shared" si="1"/>
        <v>-6542</v>
      </c>
      <c r="G47" s="28">
        <f t="shared" si="3"/>
        <v>-1.5776000003825175E-2</v>
      </c>
      <c r="H47" s="28">
        <f t="shared" si="4"/>
        <v>-1.5776000003825175E-2</v>
      </c>
      <c r="Q47" s="30">
        <f t="shared" si="2"/>
        <v>15768.994999999999</v>
      </c>
    </row>
    <row r="48" spans="1:17" s="28" customFormat="1" ht="12.75" customHeight="1" x14ac:dyDescent="0.2">
      <c r="A48" s="64" t="s">
        <v>99</v>
      </c>
      <c r="B48" s="66" t="s">
        <v>31</v>
      </c>
      <c r="C48" s="65">
        <v>30791.518</v>
      </c>
      <c r="D48" s="29"/>
      <c r="E48" s="28">
        <f t="shared" si="0"/>
        <v>-6538.0213111563871</v>
      </c>
      <c r="F48" s="28">
        <f t="shared" si="1"/>
        <v>-6538</v>
      </c>
      <c r="G48" s="28">
        <f t="shared" si="3"/>
        <v>-2.1464000001287786E-2</v>
      </c>
      <c r="H48" s="28">
        <f t="shared" si="4"/>
        <v>-2.1464000001287786E-2</v>
      </c>
      <c r="Q48" s="30">
        <f t="shared" si="2"/>
        <v>15773.018</v>
      </c>
    </row>
    <row r="49" spans="1:17" s="28" customFormat="1" ht="12.75" customHeight="1" x14ac:dyDescent="0.2">
      <c r="A49" s="64" t="s">
        <v>183</v>
      </c>
      <c r="B49" s="66" t="s">
        <v>31</v>
      </c>
      <c r="C49" s="65">
        <v>31607.344000000001</v>
      </c>
      <c r="D49" s="29"/>
      <c r="E49" s="28">
        <f t="shared" si="0"/>
        <v>-5728.0047499334769</v>
      </c>
      <c r="F49" s="28">
        <f t="shared" si="1"/>
        <v>-5728</v>
      </c>
      <c r="G49" s="28">
        <f t="shared" si="3"/>
        <v>-4.7840000006544869E-3</v>
      </c>
      <c r="H49" s="28">
        <f t="shared" si="4"/>
        <v>-4.7840000006544869E-3</v>
      </c>
      <c r="Q49" s="30">
        <f t="shared" si="2"/>
        <v>16588.844000000001</v>
      </c>
    </row>
    <row r="50" spans="1:17" s="28" customFormat="1" ht="12.75" customHeight="1" x14ac:dyDescent="0.2">
      <c r="A50" s="64" t="s">
        <v>99</v>
      </c>
      <c r="B50" s="66" t="s">
        <v>31</v>
      </c>
      <c r="C50" s="65">
        <v>32202.558000000001</v>
      </c>
      <c r="D50" s="29"/>
      <c r="E50" s="28">
        <f t="shared" si="0"/>
        <v>-5137.0292263883421</v>
      </c>
      <c r="F50" s="28">
        <f t="shared" si="1"/>
        <v>-5137</v>
      </c>
      <c r="G50" s="28">
        <f t="shared" si="3"/>
        <v>-2.9436000000714557E-2</v>
      </c>
      <c r="H50" s="28">
        <f t="shared" si="4"/>
        <v>-2.9436000000714557E-2</v>
      </c>
      <c r="Q50" s="30">
        <f t="shared" si="2"/>
        <v>17184.058000000001</v>
      </c>
    </row>
    <row r="51" spans="1:17" s="28" customFormat="1" ht="12.75" customHeight="1" x14ac:dyDescent="0.2">
      <c r="A51" s="64" t="s">
        <v>99</v>
      </c>
      <c r="B51" s="66" t="s">
        <v>31</v>
      </c>
      <c r="C51" s="65">
        <v>32613.501</v>
      </c>
      <c r="D51" s="29"/>
      <c r="E51" s="28">
        <f t="shared" si="0"/>
        <v>-4729.0125221908474</v>
      </c>
      <c r="F51" s="28">
        <f t="shared" si="1"/>
        <v>-4729</v>
      </c>
      <c r="G51" s="28">
        <f t="shared" si="3"/>
        <v>-1.2612000002263812E-2</v>
      </c>
      <c r="H51" s="28">
        <f t="shared" si="4"/>
        <v>-1.2612000002263812E-2</v>
      </c>
      <c r="Q51" s="30">
        <f t="shared" si="2"/>
        <v>17595.001</v>
      </c>
    </row>
    <row r="52" spans="1:17" s="28" customFormat="1" ht="12.75" customHeight="1" x14ac:dyDescent="0.2">
      <c r="A52" s="64" t="s">
        <v>194</v>
      </c>
      <c r="B52" s="66" t="s">
        <v>31</v>
      </c>
      <c r="C52" s="65">
        <v>32613.517</v>
      </c>
      <c r="D52" s="29"/>
      <c r="E52" s="28">
        <f t="shared" si="0"/>
        <v>-4728.9966361257075</v>
      </c>
      <c r="F52" s="28">
        <f t="shared" si="1"/>
        <v>-4729</v>
      </c>
      <c r="G52" s="28">
        <f t="shared" si="3"/>
        <v>3.3879999973578379E-3</v>
      </c>
      <c r="H52" s="28">
        <f t="shared" si="4"/>
        <v>3.3879999973578379E-3</v>
      </c>
      <c r="Q52" s="30">
        <f t="shared" si="2"/>
        <v>17595.017</v>
      </c>
    </row>
    <row r="53" spans="1:17" s="28" customFormat="1" ht="12.75" customHeight="1" x14ac:dyDescent="0.2">
      <c r="A53" s="64" t="s">
        <v>198</v>
      </c>
      <c r="B53" s="66" t="s">
        <v>31</v>
      </c>
      <c r="C53" s="65">
        <v>32615.528999999999</v>
      </c>
      <c r="D53" s="29"/>
      <c r="E53" s="28">
        <f t="shared" ref="E53:E69" si="5">+(C53-C$7)/C$8</f>
        <v>-4726.998963434251</v>
      </c>
      <c r="F53" s="28">
        <f t="shared" ref="F53:F69" si="6">ROUND(2*E53,0)/2</f>
        <v>-4727</v>
      </c>
      <c r="G53" s="28">
        <f t="shared" si="3"/>
        <v>1.043999996909406E-3</v>
      </c>
      <c r="H53" s="28">
        <f t="shared" si="4"/>
        <v>1.043999996909406E-3</v>
      </c>
      <c r="Q53" s="30">
        <f t="shared" ref="Q53:Q69" si="7">+C53-15018.5</f>
        <v>17597.028999999999</v>
      </c>
    </row>
    <row r="54" spans="1:17" s="28" customFormat="1" ht="12.75" customHeight="1" x14ac:dyDescent="0.2">
      <c r="A54" s="64" t="s">
        <v>99</v>
      </c>
      <c r="B54" s="66" t="s">
        <v>31</v>
      </c>
      <c r="C54" s="65">
        <v>33330.578000000001</v>
      </c>
      <c r="D54" s="29"/>
      <c r="E54" s="28">
        <f t="shared" si="5"/>
        <v>-4017.0417763798032</v>
      </c>
      <c r="F54" s="28">
        <f t="shared" si="6"/>
        <v>-4017</v>
      </c>
      <c r="G54" s="28">
        <f t="shared" si="3"/>
        <v>-4.2075999997905456E-2</v>
      </c>
      <c r="H54" s="28">
        <f t="shared" si="4"/>
        <v>-4.2075999997905456E-2</v>
      </c>
      <c r="Q54" s="30">
        <f t="shared" si="7"/>
        <v>18312.078000000001</v>
      </c>
    </row>
    <row r="55" spans="1:17" s="28" customFormat="1" ht="12.75" customHeight="1" x14ac:dyDescent="0.2">
      <c r="A55" s="64" t="s">
        <v>205</v>
      </c>
      <c r="B55" s="66" t="s">
        <v>31</v>
      </c>
      <c r="C55" s="65">
        <v>33739.54</v>
      </c>
      <c r="D55" s="29"/>
      <c r="E55" s="28">
        <f t="shared" si="5"/>
        <v>-3610.9919656225547</v>
      </c>
      <c r="F55" s="28">
        <f t="shared" si="6"/>
        <v>-3611</v>
      </c>
      <c r="G55" s="28">
        <f t="shared" si="3"/>
        <v>8.0920000036712736E-3</v>
      </c>
      <c r="H55" s="28">
        <f t="shared" si="4"/>
        <v>8.0920000036712736E-3</v>
      </c>
      <c r="Q55" s="30">
        <f t="shared" si="7"/>
        <v>18721.04</v>
      </c>
    </row>
    <row r="56" spans="1:17" s="28" customFormat="1" ht="12.75" customHeight="1" x14ac:dyDescent="0.2">
      <c r="A56" s="64" t="s">
        <v>198</v>
      </c>
      <c r="B56" s="66" t="s">
        <v>31</v>
      </c>
      <c r="C56" s="65">
        <v>34130.317999999999</v>
      </c>
      <c r="D56" s="29"/>
      <c r="E56" s="28">
        <f t="shared" si="5"/>
        <v>-3222.9966678978381</v>
      </c>
      <c r="F56" s="28">
        <f t="shared" si="6"/>
        <v>-3223</v>
      </c>
      <c r="G56" s="28">
        <f t="shared" si="3"/>
        <v>3.3560000010766089E-3</v>
      </c>
      <c r="H56" s="28">
        <f t="shared" si="4"/>
        <v>3.3560000010766089E-3</v>
      </c>
      <c r="Q56" s="30">
        <f t="shared" si="7"/>
        <v>19111.817999999999</v>
      </c>
    </row>
    <row r="57" spans="1:17" s="28" customFormat="1" ht="12.75" customHeight="1" x14ac:dyDescent="0.2">
      <c r="A57" s="64" t="s">
        <v>210</v>
      </c>
      <c r="B57" s="66" t="s">
        <v>31</v>
      </c>
      <c r="C57" s="65">
        <v>34133.328000000001</v>
      </c>
      <c r="D57" s="29"/>
      <c r="E57" s="28">
        <f t="shared" si="5"/>
        <v>-3220.008101893221</v>
      </c>
      <c r="F57" s="28">
        <f t="shared" si="6"/>
        <v>-3220</v>
      </c>
      <c r="G57" s="28">
        <f t="shared" si="3"/>
        <v>-8.1599999975878745E-3</v>
      </c>
      <c r="H57" s="28">
        <f t="shared" si="4"/>
        <v>-8.1599999975878745E-3</v>
      </c>
      <c r="Q57" s="30">
        <f t="shared" si="7"/>
        <v>19114.828000000001</v>
      </c>
    </row>
    <row r="58" spans="1:17" s="28" customFormat="1" ht="12.75" customHeight="1" x14ac:dyDescent="0.2">
      <c r="A58" s="64" t="s">
        <v>198</v>
      </c>
      <c r="B58" s="66" t="s">
        <v>31</v>
      </c>
      <c r="C58" s="65">
        <v>35134.481</v>
      </c>
      <c r="D58" s="29"/>
      <c r="E58" s="28">
        <f t="shared" si="5"/>
        <v>-2225.9842410233809</v>
      </c>
      <c r="F58" s="28">
        <f t="shared" si="6"/>
        <v>-2226</v>
      </c>
      <c r="G58" s="28">
        <f t="shared" si="3"/>
        <v>1.587199999630684E-2</v>
      </c>
      <c r="H58" s="28">
        <f t="shared" si="4"/>
        <v>1.587199999630684E-2</v>
      </c>
      <c r="Q58" s="30">
        <f t="shared" si="7"/>
        <v>20115.981</v>
      </c>
    </row>
    <row r="59" spans="1:17" s="28" customFormat="1" ht="12.75" customHeight="1" x14ac:dyDescent="0.2">
      <c r="A59" s="64" t="s">
        <v>99</v>
      </c>
      <c r="B59" s="66" t="s">
        <v>31</v>
      </c>
      <c r="C59" s="65">
        <v>35135.497000000003</v>
      </c>
      <c r="D59" s="29"/>
      <c r="E59" s="28">
        <f t="shared" si="5"/>
        <v>-2224.9754758869362</v>
      </c>
      <c r="F59" s="28">
        <f t="shared" si="6"/>
        <v>-2225</v>
      </c>
      <c r="G59" s="28">
        <f t="shared" si="3"/>
        <v>2.4700000001757871E-2</v>
      </c>
      <c r="H59" s="28">
        <f t="shared" si="4"/>
        <v>2.4700000001757871E-2</v>
      </c>
      <c r="Q59" s="30">
        <f t="shared" si="7"/>
        <v>20116.997000000003</v>
      </c>
    </row>
    <row r="60" spans="1:17" s="28" customFormat="1" ht="12.75" customHeight="1" x14ac:dyDescent="0.2">
      <c r="A60" s="64" t="s">
        <v>99</v>
      </c>
      <c r="B60" s="66" t="s">
        <v>31</v>
      </c>
      <c r="C60" s="65">
        <v>35136.502999999997</v>
      </c>
      <c r="D60" s="29"/>
      <c r="E60" s="28">
        <f t="shared" si="5"/>
        <v>-2223.9766395412139</v>
      </c>
      <c r="F60" s="28">
        <f t="shared" si="6"/>
        <v>-2224</v>
      </c>
      <c r="G60" s="28">
        <f t="shared" si="3"/>
        <v>2.3527999997895677E-2</v>
      </c>
      <c r="H60" s="28">
        <f t="shared" si="4"/>
        <v>2.3527999997895677E-2</v>
      </c>
      <c r="Q60" s="30">
        <f t="shared" si="7"/>
        <v>20118.002999999997</v>
      </c>
    </row>
    <row r="61" spans="1:17" s="28" customFormat="1" ht="12.75" customHeight="1" x14ac:dyDescent="0.2">
      <c r="A61" s="64" t="s">
        <v>221</v>
      </c>
      <c r="B61" s="66" t="s">
        <v>31</v>
      </c>
      <c r="C61" s="65">
        <v>35550.434000000001</v>
      </c>
      <c r="D61" s="29"/>
      <c r="E61" s="28">
        <f t="shared" si="5"/>
        <v>-1812.9932126786678</v>
      </c>
      <c r="F61" s="28">
        <f t="shared" si="6"/>
        <v>-1813</v>
      </c>
      <c r="G61" s="28">
        <f t="shared" si="3"/>
        <v>6.8360000004759058E-3</v>
      </c>
      <c r="H61" s="28">
        <f t="shared" si="4"/>
        <v>6.8360000004759058E-3</v>
      </c>
      <c r="Q61" s="30">
        <f t="shared" si="7"/>
        <v>20531.934000000001</v>
      </c>
    </row>
    <row r="62" spans="1:17" s="28" customFormat="1" ht="12.75" customHeight="1" x14ac:dyDescent="0.2">
      <c r="A62" s="64" t="s">
        <v>221</v>
      </c>
      <c r="B62" s="66" t="s">
        <v>31</v>
      </c>
      <c r="C62" s="65">
        <v>35551.438000000002</v>
      </c>
      <c r="D62" s="29"/>
      <c r="E62" s="28">
        <f t="shared" si="5"/>
        <v>-1811.9963620910812</v>
      </c>
      <c r="F62" s="28">
        <f t="shared" si="6"/>
        <v>-1812</v>
      </c>
      <c r="G62" s="28">
        <f t="shared" si="3"/>
        <v>3.6640000034822151E-3</v>
      </c>
      <c r="H62" s="28">
        <f t="shared" si="4"/>
        <v>3.6640000034822151E-3</v>
      </c>
      <c r="Q62" s="30">
        <f t="shared" si="7"/>
        <v>20532.938000000002</v>
      </c>
    </row>
    <row r="63" spans="1:17" s="28" customFormat="1" ht="12.75" customHeight="1" x14ac:dyDescent="0.2">
      <c r="A63" s="64" t="s">
        <v>221</v>
      </c>
      <c r="B63" s="66" t="s">
        <v>31</v>
      </c>
      <c r="C63" s="65">
        <v>35552.449000000001</v>
      </c>
      <c r="D63" s="29"/>
      <c r="E63" s="28">
        <f t="shared" si="5"/>
        <v>-1810.9925613499977</v>
      </c>
      <c r="F63" s="28">
        <f t="shared" si="6"/>
        <v>-1811</v>
      </c>
      <c r="G63" s="28">
        <f t="shared" si="3"/>
        <v>7.4919999970006756E-3</v>
      </c>
      <c r="H63" s="28">
        <f t="shared" si="4"/>
        <v>7.4919999970006756E-3</v>
      </c>
      <c r="Q63" s="30">
        <f t="shared" si="7"/>
        <v>20533.949000000001</v>
      </c>
    </row>
    <row r="64" spans="1:17" s="28" customFormat="1" ht="12.75" customHeight="1" x14ac:dyDescent="0.2">
      <c r="A64" s="64" t="s">
        <v>230</v>
      </c>
      <c r="B64" s="66" t="s">
        <v>31</v>
      </c>
      <c r="C64" s="65">
        <v>36256.474999999999</v>
      </c>
      <c r="D64" s="29"/>
      <c r="E64" s="28">
        <f t="shared" si="5"/>
        <v>-1111.979880298501</v>
      </c>
      <c r="F64" s="28">
        <f t="shared" si="6"/>
        <v>-1112</v>
      </c>
      <c r="G64" s="28">
        <f t="shared" si="3"/>
        <v>2.0263999998860527E-2</v>
      </c>
      <c r="H64" s="28">
        <f t="shared" si="4"/>
        <v>2.0263999998860527E-2</v>
      </c>
      <c r="Q64" s="30">
        <f t="shared" si="7"/>
        <v>21237.974999999999</v>
      </c>
    </row>
    <row r="65" spans="1:34" s="28" customFormat="1" ht="12.75" customHeight="1" x14ac:dyDescent="0.2">
      <c r="A65" s="64" t="s">
        <v>230</v>
      </c>
      <c r="B65" s="66" t="s">
        <v>31</v>
      </c>
      <c r="C65" s="65">
        <v>36673.421999999999</v>
      </c>
      <c r="D65" s="29"/>
      <c r="E65" s="28">
        <f t="shared" si="5"/>
        <v>-698.00193015691627</v>
      </c>
      <c r="F65" s="28">
        <f t="shared" si="6"/>
        <v>-698</v>
      </c>
      <c r="G65" s="28">
        <f t="shared" si="3"/>
        <v>-1.9440000032773241E-3</v>
      </c>
      <c r="H65" s="28">
        <f t="shared" si="4"/>
        <v>-1.9440000032773241E-3</v>
      </c>
      <c r="Q65" s="30">
        <f t="shared" si="7"/>
        <v>21654.921999999999</v>
      </c>
    </row>
    <row r="66" spans="1:34" s="28" customFormat="1" ht="12.75" customHeight="1" x14ac:dyDescent="0.2">
      <c r="A66" s="64" t="s">
        <v>230</v>
      </c>
      <c r="B66" s="66" t="s">
        <v>31</v>
      </c>
      <c r="C66" s="65">
        <v>36674.428</v>
      </c>
      <c r="D66" s="29"/>
      <c r="E66" s="28">
        <f t="shared" si="5"/>
        <v>-697.00309381118666</v>
      </c>
      <c r="F66" s="28">
        <f t="shared" si="6"/>
        <v>-697</v>
      </c>
      <c r="G66" s="28">
        <f t="shared" si="3"/>
        <v>-3.1159999998635612E-3</v>
      </c>
      <c r="H66" s="28">
        <f t="shared" si="4"/>
        <v>-3.1159999998635612E-3</v>
      </c>
      <c r="Q66" s="30">
        <f t="shared" si="7"/>
        <v>21655.928</v>
      </c>
    </row>
    <row r="67" spans="1:34" s="28" customFormat="1" ht="12.75" customHeight="1" x14ac:dyDescent="0.2">
      <c r="A67" s="64" t="s">
        <v>238</v>
      </c>
      <c r="B67" s="66" t="s">
        <v>31</v>
      </c>
      <c r="C67" s="65">
        <v>36969.529000000002</v>
      </c>
      <c r="D67" s="29"/>
      <c r="E67" s="28">
        <f t="shared" si="5"/>
        <v>-404.00348699129648</v>
      </c>
      <c r="F67" s="28">
        <f t="shared" si="6"/>
        <v>-404</v>
      </c>
      <c r="G67" s="28">
        <f t="shared" si="3"/>
        <v>-3.5119999956805259E-3</v>
      </c>
      <c r="H67" s="28">
        <f t="shared" si="4"/>
        <v>-3.5119999956805259E-3</v>
      </c>
      <c r="Q67" s="30">
        <f t="shared" si="7"/>
        <v>21951.029000000002</v>
      </c>
    </row>
    <row r="68" spans="1:34" s="28" customFormat="1" ht="12.75" customHeight="1" x14ac:dyDescent="0.2">
      <c r="A68" s="64" t="s">
        <v>242</v>
      </c>
      <c r="B68" s="66" t="s">
        <v>31</v>
      </c>
      <c r="C68" s="65">
        <v>37375.423999999999</v>
      </c>
      <c r="D68" s="29"/>
      <c r="E68" s="28">
        <f t="shared" si="5"/>
        <v>-0.99883634572964941</v>
      </c>
      <c r="F68" s="28">
        <f t="shared" si="6"/>
        <v>-1</v>
      </c>
      <c r="G68" s="28">
        <f t="shared" si="3"/>
        <v>1.1719999965862371E-3</v>
      </c>
      <c r="H68" s="28">
        <f t="shared" si="4"/>
        <v>1.1719999965862371E-3</v>
      </c>
      <c r="Q68" s="30">
        <f t="shared" si="7"/>
        <v>22356.923999999999</v>
      </c>
    </row>
    <row r="69" spans="1:34" s="28" customFormat="1" ht="12.75" customHeight="1" x14ac:dyDescent="0.2">
      <c r="A69" s="28" t="s">
        <v>14</v>
      </c>
      <c r="C69" s="29">
        <v>37376.43</v>
      </c>
      <c r="D69" s="29" t="s">
        <v>16</v>
      </c>
      <c r="E69" s="28">
        <f t="shared" si="5"/>
        <v>0</v>
      </c>
      <c r="F69" s="28">
        <f t="shared" si="6"/>
        <v>0</v>
      </c>
      <c r="G69" s="28">
        <f t="shared" si="3"/>
        <v>0</v>
      </c>
      <c r="H69" s="28">
        <f t="shared" si="4"/>
        <v>0</v>
      </c>
      <c r="Q69" s="30">
        <f t="shared" si="7"/>
        <v>22357.93</v>
      </c>
    </row>
    <row r="70" spans="1:34" s="28" customFormat="1" ht="12.75" customHeight="1" x14ac:dyDescent="0.2">
      <c r="A70" s="64" t="s">
        <v>336</v>
      </c>
      <c r="B70" s="66" t="s">
        <v>31</v>
      </c>
      <c r="C70" s="65">
        <v>50193.4476</v>
      </c>
      <c r="D70" s="29"/>
      <c r="E70" s="28">
        <f t="shared" ref="E70:E101" si="8">+(C70-C$7)/C$8</f>
        <v>12725.748531531854</v>
      </c>
      <c r="F70" s="38">
        <f>ROUND(2*E70,0)/2+0.5</f>
        <v>12726</v>
      </c>
      <c r="G70" s="28">
        <f t="shared" ref="G70:G86" si="9">+C70-(C$7+F70*C$8)</f>
        <v>-0.25327200000174344</v>
      </c>
      <c r="J70" s="28">
        <f>+G70</f>
        <v>-0.25327200000174344</v>
      </c>
      <c r="O70" s="28">
        <f ca="1">+C$11+C$12*$F70</f>
        <v>-0.24334754592101468</v>
      </c>
      <c r="Q70" s="30">
        <f t="shared" ref="Q70:Q101" si="10">+C70-15018.5</f>
        <v>35174.9476</v>
      </c>
    </row>
    <row r="71" spans="1:34" s="28" customFormat="1" ht="12.75" customHeight="1" x14ac:dyDescent="0.2">
      <c r="A71" s="64" t="s">
        <v>336</v>
      </c>
      <c r="B71" s="66" t="s">
        <v>31</v>
      </c>
      <c r="C71" s="65">
        <v>50193.455300000001</v>
      </c>
      <c r="D71" s="29"/>
      <c r="E71" s="28">
        <f t="shared" si="8"/>
        <v>12725.756176700705</v>
      </c>
      <c r="F71" s="28">
        <f>ROUND(2*E71,0)/2</f>
        <v>12726</v>
      </c>
      <c r="G71" s="28">
        <f t="shared" si="9"/>
        <v>-0.24557199999981094</v>
      </c>
      <c r="J71" s="28">
        <f>+G71</f>
        <v>-0.24557199999981094</v>
      </c>
      <c r="O71" s="28">
        <f ca="1">+C$11+C$12*$F71</f>
        <v>-0.24334754592101468</v>
      </c>
      <c r="Q71" s="30">
        <f t="shared" si="10"/>
        <v>35174.955300000001</v>
      </c>
    </row>
    <row r="72" spans="1:34" s="28" customFormat="1" ht="12.75" customHeight="1" x14ac:dyDescent="0.2">
      <c r="A72" s="48" t="s">
        <v>81</v>
      </c>
      <c r="B72" s="49" t="s">
        <v>58</v>
      </c>
      <c r="C72" s="50">
        <v>52647.892599999999</v>
      </c>
      <c r="D72" s="50">
        <v>1E-4</v>
      </c>
      <c r="E72" s="40">
        <f t="shared" si="8"/>
        <v>15162.715603690333</v>
      </c>
      <c r="F72" s="38">
        <f>ROUND(2*E72,0)/2+0.5</f>
        <v>15163</v>
      </c>
      <c r="G72" s="28">
        <f t="shared" si="9"/>
        <v>-0.28643600000214064</v>
      </c>
      <c r="K72" s="28">
        <f>+G72</f>
        <v>-0.28643600000214064</v>
      </c>
      <c r="O72" s="28">
        <f ca="1">+C$11+C$12*$F72</f>
        <v>-0.28196198693938435</v>
      </c>
      <c r="Q72" s="30">
        <f t="shared" si="10"/>
        <v>37629.392599999999</v>
      </c>
    </row>
    <row r="73" spans="1:34" s="28" customFormat="1" ht="12.75" customHeight="1" x14ac:dyDescent="0.2">
      <c r="A73" s="28" t="s">
        <v>47</v>
      </c>
      <c r="C73" s="29">
        <v>47945.479399999997</v>
      </c>
      <c r="D73" s="29"/>
      <c r="E73" s="28">
        <f t="shared" si="8"/>
        <v>10493.787952802497</v>
      </c>
      <c r="F73" s="28">
        <f t="shared" ref="F73:F81" si="11">ROUND(2*E73,0)/2</f>
        <v>10494</v>
      </c>
      <c r="G73" s="28">
        <f t="shared" si="9"/>
        <v>-0.21356800000648946</v>
      </c>
      <c r="J73" s="28">
        <f t="shared" ref="J73:J81" si="12">+G73</f>
        <v>-0.21356800000648946</v>
      </c>
      <c r="Q73" s="30">
        <f t="shared" si="10"/>
        <v>32926.979399999997</v>
      </c>
      <c r="AB73" s="28" t="s">
        <v>45</v>
      </c>
      <c r="AC73" s="28" t="s">
        <v>46</v>
      </c>
      <c r="AH73" s="28" t="s">
        <v>39</v>
      </c>
    </row>
    <row r="74" spans="1:34" s="28" customFormat="1" ht="12.75" customHeight="1" x14ac:dyDescent="0.2">
      <c r="A74" s="28" t="s">
        <v>47</v>
      </c>
      <c r="C74" s="29">
        <v>47945.483099999998</v>
      </c>
      <c r="D74" s="29"/>
      <c r="E74" s="28">
        <f t="shared" si="8"/>
        <v>10493.791626455062</v>
      </c>
      <c r="F74" s="28">
        <f t="shared" si="11"/>
        <v>10494</v>
      </c>
      <c r="G74" s="28">
        <f t="shared" si="9"/>
        <v>-0.20986800000537187</v>
      </c>
      <c r="J74" s="28">
        <f t="shared" si="12"/>
        <v>-0.20986800000537187</v>
      </c>
      <c r="Q74" s="30">
        <f t="shared" si="10"/>
        <v>32926.983099999998</v>
      </c>
      <c r="AB74" s="28" t="s">
        <v>45</v>
      </c>
      <c r="AC74" s="28" t="s">
        <v>35</v>
      </c>
      <c r="AH74" s="28" t="s">
        <v>39</v>
      </c>
    </row>
    <row r="75" spans="1:34" s="28" customFormat="1" ht="12.75" customHeight="1" x14ac:dyDescent="0.2">
      <c r="A75" s="28" t="s">
        <v>47</v>
      </c>
      <c r="C75" s="29">
        <v>47947.497199999998</v>
      </c>
      <c r="D75" s="29"/>
      <c r="E75" s="28">
        <f t="shared" si="8"/>
        <v>10495.791384192569</v>
      </c>
      <c r="F75" s="28">
        <f t="shared" si="11"/>
        <v>10496</v>
      </c>
      <c r="G75" s="28">
        <f t="shared" si="9"/>
        <v>-0.2101120000006631</v>
      </c>
      <c r="J75" s="28">
        <f t="shared" si="12"/>
        <v>-0.2101120000006631</v>
      </c>
      <c r="Q75" s="30">
        <f t="shared" si="10"/>
        <v>32928.997199999998</v>
      </c>
      <c r="AB75" s="28" t="s">
        <v>45</v>
      </c>
      <c r="AC75" s="28" t="s">
        <v>35</v>
      </c>
      <c r="AH75" s="28" t="s">
        <v>39</v>
      </c>
    </row>
    <row r="76" spans="1:34" s="28" customFormat="1" ht="12.75" customHeight="1" x14ac:dyDescent="0.2">
      <c r="A76" s="28" t="s">
        <v>47</v>
      </c>
      <c r="C76" s="29">
        <v>47947.497600000002</v>
      </c>
      <c r="D76" s="29"/>
      <c r="E76" s="28">
        <f t="shared" si="8"/>
        <v>10495.791781344202</v>
      </c>
      <c r="F76" s="28">
        <f t="shared" si="11"/>
        <v>10496</v>
      </c>
      <c r="G76" s="28">
        <f t="shared" si="9"/>
        <v>-0.20971199999621604</v>
      </c>
      <c r="J76" s="28">
        <f t="shared" si="12"/>
        <v>-0.20971199999621604</v>
      </c>
      <c r="Q76" s="30">
        <f t="shared" si="10"/>
        <v>32928.997600000002</v>
      </c>
      <c r="AB76" s="28" t="s">
        <v>45</v>
      </c>
      <c r="AC76" s="28" t="s">
        <v>46</v>
      </c>
      <c r="AH76" s="28" t="s">
        <v>39</v>
      </c>
    </row>
    <row r="77" spans="1:34" s="28" customFormat="1" ht="12.75" customHeight="1" x14ac:dyDescent="0.2">
      <c r="A77" s="64" t="s">
        <v>287</v>
      </c>
      <c r="B77" s="66" t="s">
        <v>31</v>
      </c>
      <c r="C77" s="65">
        <v>47945.481200000002</v>
      </c>
      <c r="D77" s="29"/>
      <c r="E77" s="28">
        <f t="shared" si="8"/>
        <v>10493.789739984832</v>
      </c>
      <c r="F77" s="28">
        <f t="shared" si="11"/>
        <v>10494</v>
      </c>
      <c r="G77" s="28">
        <f t="shared" si="9"/>
        <v>-0.21176800000102958</v>
      </c>
      <c r="J77" s="28">
        <f t="shared" si="12"/>
        <v>-0.21176800000102958</v>
      </c>
      <c r="Q77" s="30">
        <f t="shared" si="10"/>
        <v>32926.981200000002</v>
      </c>
    </row>
    <row r="78" spans="1:34" s="28" customFormat="1" ht="12.75" customHeight="1" x14ac:dyDescent="0.2">
      <c r="A78" s="64" t="s">
        <v>287</v>
      </c>
      <c r="B78" s="66" t="s">
        <v>31</v>
      </c>
      <c r="C78" s="65">
        <v>47947.497499999998</v>
      </c>
      <c r="D78" s="29"/>
      <c r="E78" s="28">
        <f t="shared" si="8"/>
        <v>10495.79168205629</v>
      </c>
      <c r="F78" s="28">
        <f t="shared" si="11"/>
        <v>10496</v>
      </c>
      <c r="G78" s="28">
        <f t="shared" si="9"/>
        <v>-0.20981200000096578</v>
      </c>
      <c r="J78" s="28">
        <f t="shared" si="12"/>
        <v>-0.20981200000096578</v>
      </c>
      <c r="Q78" s="30">
        <f t="shared" si="10"/>
        <v>32928.997499999998</v>
      </c>
    </row>
    <row r="79" spans="1:34" s="28" customFormat="1" ht="12.75" customHeight="1" x14ac:dyDescent="0.2">
      <c r="A79" s="28" t="s">
        <v>49</v>
      </c>
      <c r="B79" s="31" t="s">
        <v>58</v>
      </c>
      <c r="C79" s="29">
        <v>48307.553399999997</v>
      </c>
      <c r="D79" s="29"/>
      <c r="E79" s="28">
        <f t="shared" si="8"/>
        <v>10853.283649664603</v>
      </c>
      <c r="F79" s="28">
        <f t="shared" si="11"/>
        <v>10853.5</v>
      </c>
      <c r="G79" s="28">
        <f t="shared" si="9"/>
        <v>-0.21790200000395998</v>
      </c>
      <c r="J79" s="28">
        <f t="shared" si="12"/>
        <v>-0.21790200000395998</v>
      </c>
      <c r="Q79" s="30">
        <f t="shared" si="10"/>
        <v>33289.053399999997</v>
      </c>
      <c r="AB79" s="28" t="s">
        <v>45</v>
      </c>
      <c r="AC79" s="28" t="s">
        <v>46</v>
      </c>
      <c r="AH79" s="28" t="s">
        <v>39</v>
      </c>
    </row>
    <row r="80" spans="1:34" s="28" customFormat="1" ht="12.75" customHeight="1" x14ac:dyDescent="0.2">
      <c r="A80" s="28" t="s">
        <v>49</v>
      </c>
      <c r="C80" s="29">
        <v>48357.406799999997</v>
      </c>
      <c r="D80" s="29"/>
      <c r="E80" s="28">
        <f t="shared" si="8"/>
        <v>10902.782047157782</v>
      </c>
      <c r="F80" s="28">
        <f t="shared" si="11"/>
        <v>10903</v>
      </c>
      <c r="G80" s="28">
        <f t="shared" si="9"/>
        <v>-0.21951600000465987</v>
      </c>
      <c r="J80" s="28">
        <f t="shared" si="12"/>
        <v>-0.21951600000465987</v>
      </c>
      <c r="O80" s="28">
        <f t="shared" ref="O80:O86" ca="1" si="13">+C$11+C$12*$F80</f>
        <v>-0.21446197925031796</v>
      </c>
      <c r="Q80" s="30">
        <f t="shared" si="10"/>
        <v>33338.906799999997</v>
      </c>
      <c r="AB80" s="28" t="s">
        <v>45</v>
      </c>
      <c r="AC80" s="28" t="s">
        <v>46</v>
      </c>
      <c r="AH80" s="28" t="s">
        <v>39</v>
      </c>
    </row>
    <row r="81" spans="1:34" s="28" customFormat="1" ht="12.75" customHeight="1" x14ac:dyDescent="0.2">
      <c r="A81" s="28" t="s">
        <v>49</v>
      </c>
      <c r="C81" s="29">
        <v>48357.408600000002</v>
      </c>
      <c r="D81" s="29"/>
      <c r="E81" s="28">
        <f t="shared" si="8"/>
        <v>10902.783834340114</v>
      </c>
      <c r="F81" s="28">
        <f t="shared" si="11"/>
        <v>10903</v>
      </c>
      <c r="G81" s="28">
        <f t="shared" si="9"/>
        <v>-0.21771599999919999</v>
      </c>
      <c r="J81" s="28">
        <f t="shared" si="12"/>
        <v>-0.21771599999919999</v>
      </c>
      <c r="O81" s="28">
        <f t="shared" ca="1" si="13"/>
        <v>-0.21446197925031796</v>
      </c>
      <c r="Q81" s="30">
        <f t="shared" si="10"/>
        <v>33338.908600000002</v>
      </c>
      <c r="AB81" s="28" t="s">
        <v>45</v>
      </c>
      <c r="AC81" s="28" t="s">
        <v>35</v>
      </c>
      <c r="AH81" s="28" t="s">
        <v>39</v>
      </c>
    </row>
    <row r="82" spans="1:34" s="28" customFormat="1" ht="12.75" customHeight="1" x14ac:dyDescent="0.2">
      <c r="A82" s="40" t="s">
        <v>57</v>
      </c>
      <c r="B82" s="40"/>
      <c r="C82" s="36">
        <v>51199.601999999999</v>
      </c>
      <c r="D82" s="36">
        <v>2E-3</v>
      </c>
      <c r="E82" s="40">
        <f t="shared" si="8"/>
        <v>13724.738177788897</v>
      </c>
      <c r="F82" s="38">
        <f>ROUND(2*E82,0)/2+0.5</f>
        <v>13725</v>
      </c>
      <c r="G82" s="28">
        <f t="shared" si="9"/>
        <v>-0.26370000000315486</v>
      </c>
      <c r="I82" s="28">
        <f>+G82</f>
        <v>-0.26370000000315486</v>
      </c>
      <c r="O82" s="28">
        <f t="shared" ca="1" si="13"/>
        <v>-0.25917677307626752</v>
      </c>
      <c r="Q82" s="30">
        <f t="shared" si="10"/>
        <v>36181.101999999999</v>
      </c>
      <c r="AB82" s="28" t="s">
        <v>54</v>
      </c>
      <c r="AD82" s="28">
        <v>11</v>
      </c>
      <c r="AF82" s="28" t="s">
        <v>56</v>
      </c>
      <c r="AH82" s="28" t="s">
        <v>39</v>
      </c>
    </row>
    <row r="83" spans="1:34" s="28" customFormat="1" ht="12.75" customHeight="1" x14ac:dyDescent="0.2">
      <c r="A83" s="28" t="s">
        <v>52</v>
      </c>
      <c r="C83" s="29">
        <v>49058.394999999997</v>
      </c>
      <c r="D83" s="29">
        <v>6.0000000000000001E-3</v>
      </c>
      <c r="E83" s="28">
        <f t="shared" si="8"/>
        <v>11598.778560166484</v>
      </c>
      <c r="F83" s="28">
        <f>ROUND(2*E83,0)/2</f>
        <v>11599</v>
      </c>
      <c r="G83" s="28">
        <f t="shared" si="9"/>
        <v>-0.2230280000003404</v>
      </c>
      <c r="I83" s="28">
        <f>+G83</f>
        <v>-0.2230280000003404</v>
      </c>
      <c r="O83" s="28">
        <f t="shared" ca="1" si="13"/>
        <v>-0.22549014952064428</v>
      </c>
      <c r="Q83" s="30">
        <f t="shared" si="10"/>
        <v>34039.894999999997</v>
      </c>
      <c r="AB83" s="28" t="s">
        <v>36</v>
      </c>
      <c r="AD83" s="28">
        <v>7</v>
      </c>
      <c r="AF83" s="28" t="s">
        <v>40</v>
      </c>
      <c r="AH83" s="28" t="s">
        <v>35</v>
      </c>
    </row>
    <row r="84" spans="1:34" s="28" customFormat="1" ht="12.75" customHeight="1" x14ac:dyDescent="0.2">
      <c r="A84" s="28" t="s">
        <v>53</v>
      </c>
      <c r="C84" s="29">
        <v>50179.37</v>
      </c>
      <c r="D84" s="29">
        <v>6.0000000000000001E-3</v>
      </c>
      <c r="E84" s="28">
        <f t="shared" si="8"/>
        <v>12711.771177117715</v>
      </c>
      <c r="F84" s="28">
        <f>ROUND(2*E84,0)/2</f>
        <v>12712</v>
      </c>
      <c r="G84" s="28">
        <f t="shared" si="9"/>
        <v>-0.23046400000021094</v>
      </c>
      <c r="I84" s="28">
        <f>+G84</f>
        <v>-0.23046400000021094</v>
      </c>
      <c r="O84" s="28">
        <f t="shared" ca="1" si="13"/>
        <v>-0.24312571490982995</v>
      </c>
      <c r="Q84" s="30">
        <f t="shared" si="10"/>
        <v>35160.870000000003</v>
      </c>
      <c r="AB84" s="28" t="s">
        <v>36</v>
      </c>
      <c r="AD84" s="28">
        <v>7</v>
      </c>
      <c r="AF84" s="28" t="s">
        <v>40</v>
      </c>
      <c r="AH84" s="28" t="s">
        <v>35</v>
      </c>
    </row>
    <row r="85" spans="1:34" s="28" customFormat="1" ht="12.75" customHeight="1" x14ac:dyDescent="0.2">
      <c r="A85" s="28" t="s">
        <v>53</v>
      </c>
      <c r="C85" s="29">
        <v>50188.425999999999</v>
      </c>
      <c r="D85" s="29">
        <v>5.0000000000000001E-3</v>
      </c>
      <c r="E85" s="28">
        <f t="shared" si="8"/>
        <v>12720.76268998741</v>
      </c>
      <c r="F85" s="28">
        <f>ROUND(2*E85,0)/2</f>
        <v>12721</v>
      </c>
      <c r="G85" s="28">
        <f t="shared" si="9"/>
        <v>-0.23901199999818346</v>
      </c>
      <c r="I85" s="28">
        <f>+G85</f>
        <v>-0.23901199999818346</v>
      </c>
      <c r="O85" s="28">
        <f t="shared" ca="1" si="13"/>
        <v>-0.24326832055987727</v>
      </c>
      <c r="Q85" s="30">
        <f t="shared" si="10"/>
        <v>35169.925999999999</v>
      </c>
      <c r="AB85" s="28" t="s">
        <v>36</v>
      </c>
      <c r="AD85" s="28">
        <v>11</v>
      </c>
      <c r="AF85" s="28" t="s">
        <v>40</v>
      </c>
      <c r="AH85" s="28" t="s">
        <v>35</v>
      </c>
    </row>
    <row r="86" spans="1:34" s="28" customFormat="1" ht="12.75" customHeight="1" x14ac:dyDescent="0.2">
      <c r="A86" s="40" t="s">
        <v>55</v>
      </c>
      <c r="B86" s="40"/>
      <c r="C86" s="36">
        <v>50898.46</v>
      </c>
      <c r="D86" s="36">
        <v>4.0000000000000001E-3</v>
      </c>
      <c r="E86" s="40">
        <f t="shared" si="8"/>
        <v>13425.740588499282</v>
      </c>
      <c r="F86" s="38">
        <f>ROUND(2*E86,0)/2+0.5</f>
        <v>13426</v>
      </c>
      <c r="G86" s="28">
        <f t="shared" si="9"/>
        <v>-0.26127199999609729</v>
      </c>
      <c r="I86" s="28">
        <f>+G86</f>
        <v>-0.26127199999609729</v>
      </c>
      <c r="O86" s="28">
        <f t="shared" ca="1" si="13"/>
        <v>-0.25443909648025093</v>
      </c>
      <c r="Q86" s="30">
        <f t="shared" si="10"/>
        <v>35879.96</v>
      </c>
      <c r="AB86" s="28" t="s">
        <v>54</v>
      </c>
      <c r="AD86" s="28">
        <v>23</v>
      </c>
      <c r="AF86" s="28" t="s">
        <v>42</v>
      </c>
      <c r="AH86" s="28" t="s">
        <v>35</v>
      </c>
    </row>
    <row r="87" spans="1:34" s="28" customFormat="1" ht="12.75" customHeight="1" x14ac:dyDescent="0.2">
      <c r="A87" s="28" t="s">
        <v>34</v>
      </c>
      <c r="C87" s="29">
        <v>42460.42</v>
      </c>
      <c r="D87" s="29"/>
      <c r="E87" s="28">
        <f t="shared" si="8"/>
        <v>5047.7872697016974</v>
      </c>
      <c r="F87" s="28">
        <f t="shared" ref="F87:F101" si="14">ROUND(2*E87,0)/2</f>
        <v>5048</v>
      </c>
      <c r="Q87" s="30">
        <f t="shared" si="10"/>
        <v>27441.919999999998</v>
      </c>
      <c r="U87" s="28">
        <f>+C87-(C$7+F87*C$8)</f>
        <v>-0.21425599999929545</v>
      </c>
      <c r="AD87" s="28">
        <v>7</v>
      </c>
      <c r="AF87" s="28" t="s">
        <v>33</v>
      </c>
      <c r="AH87" s="28" t="s">
        <v>35</v>
      </c>
    </row>
    <row r="88" spans="1:34" s="28" customFormat="1" ht="12.75" customHeight="1" x14ac:dyDescent="0.2">
      <c r="A88" s="28" t="s">
        <v>34</v>
      </c>
      <c r="C88" s="29">
        <v>42464.421000000002</v>
      </c>
      <c r="D88" s="29"/>
      <c r="E88" s="28">
        <f t="shared" si="8"/>
        <v>5051.759778865975</v>
      </c>
      <c r="F88" s="28">
        <f t="shared" si="14"/>
        <v>5052</v>
      </c>
      <c r="Q88" s="30">
        <f t="shared" si="10"/>
        <v>27445.921000000002</v>
      </c>
      <c r="U88" s="28">
        <f>+C88-(C$7+F88*C$8)</f>
        <v>-0.2419439999939641</v>
      </c>
      <c r="AB88" s="28" t="s">
        <v>36</v>
      </c>
      <c r="AD88" s="28">
        <v>11</v>
      </c>
      <c r="AF88" s="28" t="s">
        <v>33</v>
      </c>
      <c r="AH88" s="28" t="s">
        <v>35</v>
      </c>
    </row>
    <row r="89" spans="1:34" s="28" customFormat="1" ht="12.75" customHeight="1" x14ac:dyDescent="0.2">
      <c r="A89" s="28" t="s">
        <v>37</v>
      </c>
      <c r="C89" s="29">
        <v>42869.319000000003</v>
      </c>
      <c r="D89" s="29"/>
      <c r="E89" s="28">
        <f t="shared" si="8"/>
        <v>5453.7745290774592</v>
      </c>
      <c r="F89" s="28">
        <f t="shared" si="14"/>
        <v>5454</v>
      </c>
      <c r="Q89" s="30">
        <f t="shared" si="10"/>
        <v>27850.819000000003</v>
      </c>
      <c r="U89" s="28">
        <f>+C89-(C$7+F89*C$8)</f>
        <v>-0.22708799999963958</v>
      </c>
      <c r="AB89" s="28" t="s">
        <v>36</v>
      </c>
      <c r="AD89" s="28">
        <v>7</v>
      </c>
      <c r="AF89" s="28" t="s">
        <v>33</v>
      </c>
      <c r="AH89" s="28" t="s">
        <v>35</v>
      </c>
    </row>
    <row r="90" spans="1:34" s="28" customFormat="1" ht="12.75" customHeight="1" x14ac:dyDescent="0.2">
      <c r="A90" s="28" t="s">
        <v>41</v>
      </c>
      <c r="C90" s="29">
        <v>47234.436000000002</v>
      </c>
      <c r="D90" s="29"/>
      <c r="E90" s="28">
        <f t="shared" si="8"/>
        <v>9787.8078421560585</v>
      </c>
      <c r="F90" s="28">
        <f t="shared" si="14"/>
        <v>9788</v>
      </c>
      <c r="G90" s="28">
        <f t="shared" ref="G90:G100" si="15">+C90-(C$7+F90*C$8)</f>
        <v>-0.19353599999885773</v>
      </c>
      <c r="I90" s="28">
        <f t="shared" ref="I90:I99" si="16">+G90</f>
        <v>-0.19353599999885773</v>
      </c>
      <c r="Q90" s="30">
        <f t="shared" si="10"/>
        <v>32215.936000000002</v>
      </c>
      <c r="AB90" s="28" t="s">
        <v>36</v>
      </c>
      <c r="AD90" s="28">
        <v>11</v>
      </c>
      <c r="AF90" s="28" t="s">
        <v>40</v>
      </c>
      <c r="AH90" s="28" t="s">
        <v>35</v>
      </c>
    </row>
    <row r="91" spans="1:34" s="28" customFormat="1" ht="12.75" customHeight="1" x14ac:dyDescent="0.2">
      <c r="A91" s="28" t="s">
        <v>41</v>
      </c>
      <c r="C91" s="29">
        <v>47235.451999999997</v>
      </c>
      <c r="D91" s="29"/>
      <c r="E91" s="28">
        <f t="shared" si="8"/>
        <v>9788.816607292496</v>
      </c>
      <c r="F91" s="28">
        <f t="shared" si="14"/>
        <v>9789</v>
      </c>
      <c r="G91" s="28">
        <f t="shared" si="15"/>
        <v>-0.18470800000068266</v>
      </c>
      <c r="I91" s="28">
        <f t="shared" si="16"/>
        <v>-0.18470800000068266</v>
      </c>
      <c r="Q91" s="30">
        <f t="shared" si="10"/>
        <v>32216.951999999997</v>
      </c>
      <c r="AB91" s="28" t="s">
        <v>36</v>
      </c>
      <c r="AD91" s="28">
        <v>8</v>
      </c>
      <c r="AF91" s="28" t="s">
        <v>40</v>
      </c>
      <c r="AH91" s="28" t="s">
        <v>35</v>
      </c>
    </row>
    <row r="92" spans="1:34" s="28" customFormat="1" ht="12.75" customHeight="1" x14ac:dyDescent="0.2">
      <c r="A92" s="28" t="s">
        <v>41</v>
      </c>
      <c r="C92" s="29">
        <v>47239.474000000002</v>
      </c>
      <c r="D92" s="29"/>
      <c r="E92" s="28">
        <f t="shared" si="8"/>
        <v>9792.8099669172716</v>
      </c>
      <c r="F92" s="28">
        <f t="shared" si="14"/>
        <v>9793</v>
      </c>
      <c r="G92" s="28">
        <f t="shared" si="15"/>
        <v>-0.19139599999471102</v>
      </c>
      <c r="I92" s="28">
        <f t="shared" si="16"/>
        <v>-0.19139599999471102</v>
      </c>
      <c r="Q92" s="30">
        <f t="shared" si="10"/>
        <v>32220.974000000002</v>
      </c>
      <c r="AB92" s="28" t="s">
        <v>36</v>
      </c>
      <c r="AD92" s="28">
        <v>11</v>
      </c>
      <c r="AF92" s="28" t="s">
        <v>40</v>
      </c>
      <c r="AH92" s="28" t="s">
        <v>35</v>
      </c>
    </row>
    <row r="93" spans="1:34" s="28" customFormat="1" ht="12.75" customHeight="1" x14ac:dyDescent="0.2">
      <c r="A93" s="28" t="s">
        <v>43</v>
      </c>
      <c r="C93" s="29">
        <v>47649.385000000002</v>
      </c>
      <c r="D93" s="29"/>
      <c r="E93" s="28">
        <f t="shared" si="8"/>
        <v>10199.802019913184</v>
      </c>
      <c r="F93" s="28">
        <f t="shared" si="14"/>
        <v>10200</v>
      </c>
      <c r="G93" s="28">
        <f t="shared" si="15"/>
        <v>-0.19939999999769498</v>
      </c>
      <c r="I93" s="28">
        <f t="shared" si="16"/>
        <v>-0.19939999999769498</v>
      </c>
      <c r="Q93" s="30">
        <f t="shared" si="10"/>
        <v>32630.885000000002</v>
      </c>
      <c r="AB93" s="28" t="s">
        <v>36</v>
      </c>
      <c r="AD93" s="28">
        <v>14</v>
      </c>
      <c r="AF93" s="28" t="s">
        <v>42</v>
      </c>
      <c r="AH93" s="28" t="s">
        <v>35</v>
      </c>
    </row>
    <row r="94" spans="1:34" s="28" customFormat="1" ht="12.75" customHeight="1" x14ac:dyDescent="0.2">
      <c r="A94" s="28" t="s">
        <v>43</v>
      </c>
      <c r="C94" s="29">
        <v>47654.415999999997</v>
      </c>
      <c r="D94" s="29"/>
      <c r="E94" s="28">
        <f t="shared" si="8"/>
        <v>10204.797194520894</v>
      </c>
      <c r="F94" s="28">
        <f t="shared" si="14"/>
        <v>10205</v>
      </c>
      <c r="G94" s="28">
        <f t="shared" si="15"/>
        <v>-0.20425999999861233</v>
      </c>
      <c r="I94" s="28">
        <f t="shared" si="16"/>
        <v>-0.20425999999861233</v>
      </c>
      <c r="Q94" s="30">
        <f t="shared" si="10"/>
        <v>32635.915999999997</v>
      </c>
      <c r="AB94" s="28" t="s">
        <v>36</v>
      </c>
      <c r="AD94" s="28">
        <v>10</v>
      </c>
      <c r="AF94" s="28" t="s">
        <v>42</v>
      </c>
      <c r="AH94" s="28" t="s">
        <v>35</v>
      </c>
    </row>
    <row r="95" spans="1:34" s="28" customFormat="1" ht="12.75" customHeight="1" x14ac:dyDescent="0.2">
      <c r="A95" s="28" t="s">
        <v>44</v>
      </c>
      <c r="C95" s="29">
        <v>47944.468000000001</v>
      </c>
      <c r="D95" s="29"/>
      <c r="E95" s="28">
        <f t="shared" si="8"/>
        <v>10492.783754909788</v>
      </c>
      <c r="F95" s="28">
        <f t="shared" si="14"/>
        <v>10493</v>
      </c>
      <c r="G95" s="28">
        <f t="shared" si="15"/>
        <v>-0.21779599999717902</v>
      </c>
      <c r="I95" s="28">
        <f t="shared" si="16"/>
        <v>-0.21779599999717902</v>
      </c>
      <c r="Q95" s="30">
        <f t="shared" si="10"/>
        <v>32925.968000000001</v>
      </c>
      <c r="AB95" s="28" t="s">
        <v>36</v>
      </c>
      <c r="AD95" s="28">
        <v>12</v>
      </c>
      <c r="AF95" s="28" t="s">
        <v>40</v>
      </c>
      <c r="AH95" s="28" t="s">
        <v>35</v>
      </c>
    </row>
    <row r="96" spans="1:34" s="28" customFormat="1" ht="12.75" customHeight="1" x14ac:dyDescent="0.2">
      <c r="A96" s="28" t="s">
        <v>50</v>
      </c>
      <c r="C96" s="29">
        <v>48348.349000000002</v>
      </c>
      <c r="D96" s="29"/>
      <c r="E96" s="28">
        <f t="shared" si="8"/>
        <v>10893.78874710576</v>
      </c>
      <c r="F96" s="28">
        <f t="shared" si="14"/>
        <v>10894</v>
      </c>
      <c r="G96" s="28">
        <f t="shared" si="15"/>
        <v>-0.21276799999759533</v>
      </c>
      <c r="I96" s="28">
        <f t="shared" si="16"/>
        <v>-0.21276799999759533</v>
      </c>
      <c r="Q96" s="30">
        <f t="shared" si="10"/>
        <v>33329.849000000002</v>
      </c>
      <c r="AB96" s="28" t="s">
        <v>36</v>
      </c>
      <c r="AD96" s="28">
        <v>8</v>
      </c>
      <c r="AF96" s="28" t="s">
        <v>40</v>
      </c>
      <c r="AH96" s="28" t="s">
        <v>35</v>
      </c>
    </row>
    <row r="97" spans="1:34" s="28" customFormat="1" ht="12.75" customHeight="1" x14ac:dyDescent="0.2">
      <c r="A97" s="28" t="s">
        <v>50</v>
      </c>
      <c r="C97" s="29">
        <v>48356.3969</v>
      </c>
      <c r="D97" s="29">
        <v>2E-3</v>
      </c>
      <c r="E97" s="28">
        <f t="shared" si="8"/>
        <v>10901.779338583678</v>
      </c>
      <c r="F97" s="28">
        <f t="shared" si="14"/>
        <v>10902</v>
      </c>
      <c r="G97" s="28">
        <f t="shared" si="15"/>
        <v>-0.22224399999686284</v>
      </c>
      <c r="I97" s="28">
        <f t="shared" si="16"/>
        <v>-0.22224399999686284</v>
      </c>
      <c r="Q97" s="30">
        <f t="shared" si="10"/>
        <v>33337.8969</v>
      </c>
      <c r="AB97" s="28" t="s">
        <v>45</v>
      </c>
      <c r="AC97" s="28" t="s">
        <v>35</v>
      </c>
      <c r="AD97" s="28">
        <v>16</v>
      </c>
      <c r="AF97" s="28" t="s">
        <v>33</v>
      </c>
      <c r="AH97" s="28" t="s">
        <v>35</v>
      </c>
    </row>
    <row r="98" spans="1:34" s="28" customFormat="1" ht="12.75" customHeight="1" x14ac:dyDescent="0.2">
      <c r="A98" s="28" t="s">
        <v>50</v>
      </c>
      <c r="C98" s="29">
        <v>48356.409</v>
      </c>
      <c r="D98" s="29"/>
      <c r="E98" s="28">
        <f t="shared" si="8"/>
        <v>10901.79135242044</v>
      </c>
      <c r="F98" s="28">
        <f t="shared" si="14"/>
        <v>10902</v>
      </c>
      <c r="G98" s="28">
        <f t="shared" si="15"/>
        <v>-0.21014399999694433</v>
      </c>
      <c r="I98" s="28">
        <f t="shared" si="16"/>
        <v>-0.21014399999694433</v>
      </c>
      <c r="Q98" s="30">
        <f t="shared" si="10"/>
        <v>33337.909</v>
      </c>
      <c r="AB98" s="28" t="s">
        <v>36</v>
      </c>
      <c r="AD98" s="28">
        <v>9</v>
      </c>
      <c r="AF98" s="28" t="s">
        <v>40</v>
      </c>
      <c r="AH98" s="28" t="s">
        <v>35</v>
      </c>
    </row>
    <row r="99" spans="1:34" s="28" customFormat="1" ht="12.75" customHeight="1" x14ac:dyDescent="0.2">
      <c r="A99" s="28" t="s">
        <v>51</v>
      </c>
      <c r="C99" s="29">
        <v>48361.43</v>
      </c>
      <c r="D99" s="29">
        <v>7.0000000000000001E-3</v>
      </c>
      <c r="E99" s="28">
        <f t="shared" si="8"/>
        <v>10906.776598237442</v>
      </c>
      <c r="F99" s="28">
        <f t="shared" si="14"/>
        <v>10907</v>
      </c>
      <c r="G99" s="28">
        <f t="shared" si="15"/>
        <v>-0.22500399999989895</v>
      </c>
      <c r="I99" s="28">
        <f t="shared" si="16"/>
        <v>-0.22500399999989895</v>
      </c>
      <c r="O99" s="28">
        <f ca="1">+C$11+C$12*$F99</f>
        <v>-0.21452535953922786</v>
      </c>
      <c r="Q99" s="30">
        <f t="shared" si="10"/>
        <v>33342.93</v>
      </c>
      <c r="AB99" s="28" t="s">
        <v>36</v>
      </c>
      <c r="AD99" s="28">
        <v>44</v>
      </c>
      <c r="AF99" s="28" t="s">
        <v>42</v>
      </c>
      <c r="AH99" s="28" t="s">
        <v>35</v>
      </c>
    </row>
    <row r="100" spans="1:34" s="28" customFormat="1" ht="12.75" customHeight="1" x14ac:dyDescent="0.2">
      <c r="A100" s="28" t="s">
        <v>48</v>
      </c>
      <c r="C100" s="29">
        <v>47947.508000000002</v>
      </c>
      <c r="D100" s="29"/>
      <c r="E100" s="28">
        <f t="shared" si="8"/>
        <v>10495.802107286543</v>
      </c>
      <c r="F100" s="28">
        <f t="shared" si="14"/>
        <v>10496</v>
      </c>
      <c r="G100" s="28">
        <f t="shared" si="15"/>
        <v>-0.19931199999700766</v>
      </c>
      <c r="N100" s="28">
        <f>+G100</f>
        <v>-0.19931199999700766</v>
      </c>
      <c r="Q100" s="30">
        <f t="shared" si="10"/>
        <v>32929.008000000002</v>
      </c>
      <c r="AB100" s="28" t="s">
        <v>36</v>
      </c>
      <c r="AH100" s="28" t="s">
        <v>39</v>
      </c>
    </row>
    <row r="101" spans="1:34" s="28" customFormat="1" ht="12.75" customHeight="1" x14ac:dyDescent="0.2">
      <c r="A101" s="28" t="s">
        <v>38</v>
      </c>
      <c r="C101" s="29">
        <v>43587.783000000003</v>
      </c>
      <c r="D101" s="29"/>
      <c r="E101" s="28">
        <f t="shared" si="8"/>
        <v>6167.1223981603971</v>
      </c>
      <c r="F101" s="28">
        <f t="shared" si="14"/>
        <v>6167</v>
      </c>
      <c r="Q101" s="30">
        <f t="shared" si="10"/>
        <v>28569.283000000003</v>
      </c>
      <c r="U101" s="28">
        <f>+C101-(C$7+F101*C$8)</f>
        <v>0.12327600000571692</v>
      </c>
      <c r="AB101" s="28" t="s">
        <v>36</v>
      </c>
      <c r="AH101" s="28" t="s">
        <v>39</v>
      </c>
    </row>
    <row r="102" spans="1:34" s="28" customFormat="1" ht="12.75" customHeight="1" x14ac:dyDescent="0.2">
      <c r="A102" s="28" t="s">
        <v>32</v>
      </c>
      <c r="B102" s="31" t="s">
        <v>31</v>
      </c>
      <c r="C102" s="29">
        <v>50896.446900000003</v>
      </c>
      <c r="D102" s="29">
        <v>2.9999999999999997E-4</v>
      </c>
      <c r="E102" s="28">
        <f t="shared" ref="E102:E129" si="17">+(C102-C$7)/C$8</f>
        <v>13423.74182364085</v>
      </c>
      <c r="F102" s="38">
        <f t="shared" ref="F102:F133" si="18">ROUND(2*E102,0)/2+0.5</f>
        <v>13424</v>
      </c>
      <c r="G102" s="28">
        <f t="shared" ref="G102:G117" si="19">+C102-(C$7+F102*C$8)</f>
        <v>-0.26002799999696435</v>
      </c>
      <c r="J102" s="28">
        <f>+G102</f>
        <v>-0.26002799999696435</v>
      </c>
      <c r="O102" s="28">
        <f t="shared" ref="O102:O129" ca="1" si="20">+C$11+C$12*$F102</f>
        <v>-0.25440740633579595</v>
      </c>
      <c r="Q102" s="30">
        <f t="shared" ref="Q102:Q129" si="21">+C102-15018.5</f>
        <v>35877.946900000003</v>
      </c>
    </row>
    <row r="103" spans="1:34" s="28" customFormat="1" ht="12.75" customHeight="1" x14ac:dyDescent="0.2">
      <c r="A103" s="28" t="s">
        <v>30</v>
      </c>
      <c r="C103" s="29">
        <v>50895.440300000002</v>
      </c>
      <c r="D103" s="29">
        <v>3.5000000000000001E-3</v>
      </c>
      <c r="E103" s="28">
        <f t="shared" si="17"/>
        <v>13422.742391567679</v>
      </c>
      <c r="F103" s="38">
        <f t="shared" si="18"/>
        <v>13423</v>
      </c>
      <c r="G103" s="28">
        <f t="shared" si="19"/>
        <v>-0.25945599999977276</v>
      </c>
      <c r="K103" s="28">
        <f>+G103</f>
        <v>-0.25945599999977276</v>
      </c>
      <c r="O103" s="28">
        <f t="shared" ca="1" si="20"/>
        <v>-0.25439156126356849</v>
      </c>
      <c r="Q103" s="30">
        <f t="shared" si="21"/>
        <v>35876.940300000002</v>
      </c>
    </row>
    <row r="104" spans="1:34" s="28" customFormat="1" ht="12.75" customHeight="1" x14ac:dyDescent="0.2">
      <c r="A104" s="41" t="s">
        <v>78</v>
      </c>
      <c r="B104" s="42" t="s">
        <v>31</v>
      </c>
      <c r="C104" s="41">
        <v>52011.3698</v>
      </c>
      <c r="D104" s="41" t="s">
        <v>79</v>
      </c>
      <c r="E104" s="40">
        <f t="shared" si="17"/>
        <v>14530.725437164656</v>
      </c>
      <c r="F104" s="38">
        <f t="shared" si="18"/>
        <v>14531</v>
      </c>
      <c r="G104" s="28">
        <f t="shared" si="19"/>
        <v>-0.27653200000349898</v>
      </c>
      <c r="J104" s="28">
        <f>+G104</f>
        <v>-0.27653200000349898</v>
      </c>
      <c r="O104" s="28">
        <f t="shared" ca="1" si="20"/>
        <v>-0.27194790129161672</v>
      </c>
      <c r="Q104" s="30">
        <f t="shared" si="21"/>
        <v>36992.8698</v>
      </c>
    </row>
    <row r="105" spans="1:34" s="28" customFormat="1" ht="12.75" customHeight="1" x14ac:dyDescent="0.2">
      <c r="A105" s="36" t="s">
        <v>71</v>
      </c>
      <c r="B105" s="32" t="s">
        <v>58</v>
      </c>
      <c r="C105" s="34">
        <v>53003.921799999996</v>
      </c>
      <c r="D105" s="34">
        <v>5.0000000000000001E-4</v>
      </c>
      <c r="E105" s="40">
        <f t="shared" si="17"/>
        <v>15516.209545142237</v>
      </c>
      <c r="F105" s="38">
        <f t="shared" si="18"/>
        <v>15516.5</v>
      </c>
      <c r="G105" s="28">
        <f t="shared" si="19"/>
        <v>-0.29253800000151386</v>
      </c>
      <c r="K105" s="28">
        <f t="shared" ref="K105:K112" si="22">+G105</f>
        <v>-0.29253800000151386</v>
      </c>
      <c r="O105" s="28">
        <f t="shared" ca="1" si="20"/>
        <v>-0.28756321997179868</v>
      </c>
      <c r="Q105" s="30">
        <f t="shared" si="21"/>
        <v>37985.421799999996</v>
      </c>
    </row>
    <row r="106" spans="1:34" s="28" customFormat="1" ht="12.75" customHeight="1" x14ac:dyDescent="0.2">
      <c r="A106" s="36" t="s">
        <v>71</v>
      </c>
      <c r="B106" s="32" t="s">
        <v>31</v>
      </c>
      <c r="C106" s="34">
        <v>53053.777629999997</v>
      </c>
      <c r="D106" s="34">
        <v>1.9000000000000001E-4</v>
      </c>
      <c r="E106" s="40">
        <f t="shared" si="17"/>
        <v>15565.710355331559</v>
      </c>
      <c r="F106" s="38">
        <f t="shared" si="18"/>
        <v>15566</v>
      </c>
      <c r="G106" s="28">
        <f t="shared" si="19"/>
        <v>-0.29172200000175508</v>
      </c>
      <c r="K106" s="28">
        <f t="shared" si="22"/>
        <v>-0.29172200000175508</v>
      </c>
      <c r="O106" s="28">
        <f t="shared" ca="1" si="20"/>
        <v>-0.28834755104705889</v>
      </c>
      <c r="Q106" s="30">
        <f t="shared" si="21"/>
        <v>38035.277629999997</v>
      </c>
    </row>
    <row r="107" spans="1:34" s="28" customFormat="1" ht="12.75" customHeight="1" x14ac:dyDescent="0.2">
      <c r="A107" s="41" t="s">
        <v>71</v>
      </c>
      <c r="B107" s="42" t="s">
        <v>31</v>
      </c>
      <c r="C107" s="41">
        <v>53056.798369999997</v>
      </c>
      <c r="D107" s="41">
        <v>1.2E-4</v>
      </c>
      <c r="E107" s="40">
        <f t="shared" si="17"/>
        <v>15568.709584857399</v>
      </c>
      <c r="F107" s="38">
        <f t="shared" si="18"/>
        <v>15569</v>
      </c>
      <c r="G107" s="28">
        <f t="shared" si="19"/>
        <v>-0.29249800000252435</v>
      </c>
      <c r="K107" s="28">
        <f t="shared" si="22"/>
        <v>-0.29249800000252435</v>
      </c>
      <c r="O107" s="28">
        <f t="shared" ca="1" si="20"/>
        <v>-0.28839508626374133</v>
      </c>
      <c r="Q107" s="30">
        <f t="shared" si="21"/>
        <v>38038.298369999997</v>
      </c>
    </row>
    <row r="108" spans="1:34" s="28" customFormat="1" ht="12.75" customHeight="1" x14ac:dyDescent="0.2">
      <c r="A108" s="41" t="s">
        <v>71</v>
      </c>
      <c r="B108" s="42" t="s">
        <v>31</v>
      </c>
      <c r="C108" s="41">
        <v>53062.84173</v>
      </c>
      <c r="D108" s="41">
        <v>1.4999999999999999E-4</v>
      </c>
      <c r="E108" s="40">
        <f t="shared" si="17"/>
        <v>15574.709910521738</v>
      </c>
      <c r="F108" s="38">
        <f t="shared" si="18"/>
        <v>15575</v>
      </c>
      <c r="G108" s="28">
        <f t="shared" si="19"/>
        <v>-0.29217000000062399</v>
      </c>
      <c r="K108" s="28">
        <f t="shared" si="22"/>
        <v>-0.29217000000062399</v>
      </c>
      <c r="O108" s="28">
        <f t="shared" ca="1" si="20"/>
        <v>-0.28849015669710626</v>
      </c>
      <c r="Q108" s="30">
        <f t="shared" si="21"/>
        <v>38044.34173</v>
      </c>
    </row>
    <row r="109" spans="1:34" s="28" customFormat="1" ht="12.75" customHeight="1" x14ac:dyDescent="0.2">
      <c r="A109" s="41" t="s">
        <v>71</v>
      </c>
      <c r="B109" s="42" t="s">
        <v>31</v>
      </c>
      <c r="C109" s="41">
        <v>53063.848720000002</v>
      </c>
      <c r="D109" s="41">
        <v>1.2E-4</v>
      </c>
      <c r="E109" s="40">
        <f t="shared" si="17"/>
        <v>15575.709729817749</v>
      </c>
      <c r="F109" s="38">
        <f t="shared" si="18"/>
        <v>15576</v>
      </c>
      <c r="G109" s="28">
        <f t="shared" si="19"/>
        <v>-0.29235199999675388</v>
      </c>
      <c r="K109" s="28">
        <f t="shared" si="22"/>
        <v>-0.29235199999675388</v>
      </c>
      <c r="O109" s="28">
        <f t="shared" ca="1" si="20"/>
        <v>-0.28850600176933372</v>
      </c>
      <c r="Q109" s="30">
        <f t="shared" si="21"/>
        <v>38045.348720000002</v>
      </c>
    </row>
    <row r="110" spans="1:34" s="28" customFormat="1" ht="12.75" customHeight="1" x14ac:dyDescent="0.2">
      <c r="A110" s="41" t="s">
        <v>71</v>
      </c>
      <c r="B110" s="42" t="s">
        <v>58</v>
      </c>
      <c r="C110" s="41">
        <v>53112.694799999997</v>
      </c>
      <c r="D110" s="41">
        <v>1.2999999999999999E-3</v>
      </c>
      <c r="E110" s="40">
        <f t="shared" si="17"/>
        <v>15624.207980364821</v>
      </c>
      <c r="F110" s="38">
        <f t="shared" si="18"/>
        <v>15624.5</v>
      </c>
      <c r="G110" s="28">
        <f t="shared" si="19"/>
        <v>-0.29411400000390131</v>
      </c>
      <c r="K110" s="28">
        <f t="shared" si="22"/>
        <v>-0.29411400000390131</v>
      </c>
      <c r="O110" s="28">
        <f t="shared" ca="1" si="20"/>
        <v>-0.28927448777236653</v>
      </c>
      <c r="Q110" s="30">
        <f t="shared" si="21"/>
        <v>38094.194799999997</v>
      </c>
    </row>
    <row r="111" spans="1:34" s="28" customFormat="1" ht="12.75" customHeight="1" x14ac:dyDescent="0.2">
      <c r="A111" s="33" t="s">
        <v>59</v>
      </c>
      <c r="B111" s="32" t="s">
        <v>31</v>
      </c>
      <c r="C111" s="34">
        <v>53029.6057</v>
      </c>
      <c r="D111" s="34">
        <v>3.7000000000000002E-3</v>
      </c>
      <c r="E111" s="40">
        <f t="shared" si="17"/>
        <v>15541.710551921618</v>
      </c>
      <c r="F111" s="38">
        <f t="shared" si="18"/>
        <v>15542</v>
      </c>
      <c r="G111" s="28">
        <f t="shared" si="19"/>
        <v>-0.29152400000020862</v>
      </c>
      <c r="K111" s="28">
        <f t="shared" si="22"/>
        <v>-0.29152400000020862</v>
      </c>
      <c r="O111" s="28">
        <f t="shared" ca="1" si="20"/>
        <v>-0.28796726931359939</v>
      </c>
      <c r="Q111" s="30">
        <f t="shared" si="21"/>
        <v>38011.1057</v>
      </c>
    </row>
    <row r="112" spans="1:34" s="28" customFormat="1" ht="12.75" customHeight="1" x14ac:dyDescent="0.2">
      <c r="A112" s="36" t="s">
        <v>70</v>
      </c>
      <c r="B112" s="32" t="s">
        <v>31</v>
      </c>
      <c r="C112" s="34">
        <v>52718.393600000003</v>
      </c>
      <c r="D112" s="34">
        <v>2.0000000000000001E-4</v>
      </c>
      <c r="E112" s="40">
        <f t="shared" si="17"/>
        <v>15232.714571096103</v>
      </c>
      <c r="F112" s="38">
        <f t="shared" si="18"/>
        <v>15233</v>
      </c>
      <c r="G112" s="28">
        <f t="shared" si="19"/>
        <v>-0.28747599999769591</v>
      </c>
      <c r="K112" s="28">
        <f t="shared" si="22"/>
        <v>-0.28747599999769591</v>
      </c>
      <c r="O112" s="28">
        <f t="shared" ca="1" si="20"/>
        <v>-0.28307114199530797</v>
      </c>
      <c r="Q112" s="30">
        <f t="shared" si="21"/>
        <v>37699.893600000003</v>
      </c>
    </row>
    <row r="113" spans="1:21" s="28" customFormat="1" ht="12.75" customHeight="1" x14ac:dyDescent="0.2">
      <c r="A113" s="43" t="s">
        <v>60</v>
      </c>
      <c r="B113" s="33"/>
      <c r="C113" s="44">
        <v>52618.685799999999</v>
      </c>
      <c r="D113" s="44">
        <v>1E-4</v>
      </c>
      <c r="E113" s="40">
        <f t="shared" si="17"/>
        <v>15133.71678323067</v>
      </c>
      <c r="F113" s="38">
        <f t="shared" si="18"/>
        <v>15134</v>
      </c>
      <c r="G113" s="28">
        <f t="shared" si="19"/>
        <v>-0.28524800000013784</v>
      </c>
      <c r="J113" s="28">
        <f>+G113</f>
        <v>-0.28524800000013784</v>
      </c>
      <c r="O113" s="28">
        <f t="shared" ca="1" si="20"/>
        <v>-0.28150247984478738</v>
      </c>
      <c r="Q113" s="30">
        <f t="shared" si="21"/>
        <v>37600.185799999999</v>
      </c>
    </row>
    <row r="114" spans="1:21" s="28" customFormat="1" ht="12.75" customHeight="1" x14ac:dyDescent="0.2">
      <c r="A114" s="37" t="s">
        <v>72</v>
      </c>
      <c r="B114" s="35" t="s">
        <v>31</v>
      </c>
      <c r="C114" s="36">
        <v>53459.673999999999</v>
      </c>
      <c r="D114" s="36">
        <v>2.5999999999999999E-3</v>
      </c>
      <c r="E114" s="40">
        <f t="shared" si="17"/>
        <v>15968.716366221459</v>
      </c>
      <c r="F114" s="38">
        <f t="shared" si="18"/>
        <v>15969</v>
      </c>
      <c r="G114" s="28">
        <f t="shared" si="19"/>
        <v>-0.2856679999968037</v>
      </c>
      <c r="K114" s="28">
        <f>+G114</f>
        <v>-0.2856679999968037</v>
      </c>
      <c r="O114" s="28">
        <f t="shared" ca="1" si="20"/>
        <v>-0.29473311515473355</v>
      </c>
      <c r="Q114" s="30">
        <f t="shared" si="21"/>
        <v>38441.173999999999</v>
      </c>
    </row>
    <row r="115" spans="1:21" s="28" customFormat="1" ht="12.75" customHeight="1" x14ac:dyDescent="0.2">
      <c r="A115" s="45" t="s">
        <v>73</v>
      </c>
      <c r="B115" s="46" t="s">
        <v>31</v>
      </c>
      <c r="C115" s="45">
        <v>54138.486199999999</v>
      </c>
      <c r="D115" s="45">
        <v>2.0000000000000001E-4</v>
      </c>
      <c r="E115" s="40">
        <f t="shared" si="17"/>
        <v>16642.694792945</v>
      </c>
      <c r="F115" s="38">
        <f t="shared" si="18"/>
        <v>16643</v>
      </c>
      <c r="G115" s="28">
        <f t="shared" si="19"/>
        <v>-0.30739600000379141</v>
      </c>
      <c r="K115" s="28">
        <f>+G115</f>
        <v>-0.30739600000379141</v>
      </c>
      <c r="O115" s="28">
        <f t="shared" ca="1" si="20"/>
        <v>-0.30541269383605529</v>
      </c>
      <c r="Q115" s="30">
        <f t="shared" si="21"/>
        <v>39119.986199999999</v>
      </c>
    </row>
    <row r="116" spans="1:21" s="28" customFormat="1" ht="12.75" customHeight="1" x14ac:dyDescent="0.2">
      <c r="A116" s="45" t="s">
        <v>73</v>
      </c>
      <c r="B116" s="46" t="s">
        <v>31</v>
      </c>
      <c r="C116" s="45">
        <v>54961.339800000002</v>
      </c>
      <c r="D116" s="45">
        <v>6.9999999999999999E-4</v>
      </c>
      <c r="E116" s="40">
        <f t="shared" si="17"/>
        <v>17459.688911129382</v>
      </c>
      <c r="F116" s="38">
        <f t="shared" si="18"/>
        <v>17460</v>
      </c>
      <c r="G116" s="28">
        <f t="shared" si="19"/>
        <v>-0.31332000000111293</v>
      </c>
      <c r="K116" s="28">
        <f>+G116</f>
        <v>-0.31332000000111293</v>
      </c>
      <c r="O116" s="28">
        <f t="shared" ca="1" si="20"/>
        <v>-0.31835811784590673</v>
      </c>
      <c r="Q116" s="30">
        <f t="shared" si="21"/>
        <v>39942.839800000002</v>
      </c>
    </row>
    <row r="117" spans="1:21" s="28" customFormat="1" ht="12.75" customHeight="1" x14ac:dyDescent="0.2">
      <c r="A117" s="45" t="s">
        <v>73</v>
      </c>
      <c r="B117" s="46" t="s">
        <v>31</v>
      </c>
      <c r="C117" s="45">
        <v>54966.370799999997</v>
      </c>
      <c r="D117" s="45">
        <v>1E-4</v>
      </c>
      <c r="E117" s="40">
        <f t="shared" si="17"/>
        <v>17464.684085737092</v>
      </c>
      <c r="F117" s="38">
        <f t="shared" si="18"/>
        <v>17465</v>
      </c>
      <c r="G117" s="28">
        <f t="shared" si="19"/>
        <v>-0.31818000000203028</v>
      </c>
      <c r="K117" s="28">
        <f>+G117</f>
        <v>-0.31818000000203028</v>
      </c>
      <c r="O117" s="28">
        <f t="shared" ca="1" si="20"/>
        <v>-0.3184373432070442</v>
      </c>
      <c r="Q117" s="30">
        <f t="shared" si="21"/>
        <v>39947.870799999997</v>
      </c>
    </row>
    <row r="118" spans="1:21" s="28" customFormat="1" ht="12.75" customHeight="1" x14ac:dyDescent="0.2">
      <c r="A118" s="36" t="s">
        <v>74</v>
      </c>
      <c r="B118" s="35" t="s">
        <v>31</v>
      </c>
      <c r="C118" s="36">
        <v>54890.536800000002</v>
      </c>
      <c r="D118" s="36">
        <v>5.9999999999999995E-4</v>
      </c>
      <c r="E118" s="40">
        <f t="shared" si="17"/>
        <v>17389.390094244085</v>
      </c>
      <c r="F118" s="38">
        <f t="shared" si="18"/>
        <v>17390</v>
      </c>
      <c r="K118" s="39"/>
      <c r="O118" s="28">
        <f t="shared" ca="1" si="20"/>
        <v>-0.31724896278998316</v>
      </c>
      <c r="Q118" s="30">
        <f t="shared" si="21"/>
        <v>39872.036800000002</v>
      </c>
    </row>
    <row r="119" spans="1:21" s="28" customFormat="1" ht="12.75" customHeight="1" x14ac:dyDescent="0.2">
      <c r="A119" s="47" t="s">
        <v>77</v>
      </c>
      <c r="B119" s="46" t="s">
        <v>58</v>
      </c>
      <c r="C119" s="45">
        <v>55321.386200000001</v>
      </c>
      <c r="D119" s="45">
        <v>2E-3</v>
      </c>
      <c r="E119" s="40">
        <f t="shared" si="17"/>
        <v>17817.171446386517</v>
      </c>
      <c r="F119" s="38">
        <f t="shared" si="18"/>
        <v>17817.5</v>
      </c>
      <c r="G119" s="28">
        <f t="shared" ref="G119:G129" si="23">+C119-(C$7+F119*C$8)</f>
        <v>-0.33090999999694759</v>
      </c>
      <c r="K119" s="28">
        <f t="shared" ref="K119:K129" si="24">+G119</f>
        <v>-0.33090999999694759</v>
      </c>
      <c r="O119" s="28">
        <f t="shared" ca="1" si="20"/>
        <v>-0.32402273116723102</v>
      </c>
      <c r="Q119" s="30">
        <f t="shared" si="21"/>
        <v>40302.886200000001</v>
      </c>
      <c r="U119" s="28">
        <f>+C118-(C$7+F118*C$8)</f>
        <v>-0.61427999999432359</v>
      </c>
    </row>
    <row r="120" spans="1:21" s="28" customFormat="1" ht="12.75" customHeight="1" x14ac:dyDescent="0.2">
      <c r="A120" s="41" t="s">
        <v>80</v>
      </c>
      <c r="B120" s="42" t="s">
        <v>31</v>
      </c>
      <c r="C120" s="41">
        <v>55600.881600000001</v>
      </c>
      <c r="D120" s="41">
        <v>2.9999999999999997E-4</v>
      </c>
      <c r="E120" s="40">
        <f t="shared" si="17"/>
        <v>18094.676579571315</v>
      </c>
      <c r="F120" s="38">
        <f t="shared" si="18"/>
        <v>18095</v>
      </c>
      <c r="G120" s="28">
        <f t="shared" si="23"/>
        <v>-0.32574000000022352</v>
      </c>
      <c r="K120" s="28">
        <f t="shared" si="24"/>
        <v>-0.32574000000022352</v>
      </c>
      <c r="O120" s="28">
        <f t="shared" ca="1" si="20"/>
        <v>-0.32841973871035679</v>
      </c>
      <c r="Q120" s="30">
        <f t="shared" si="21"/>
        <v>40582.381600000001</v>
      </c>
    </row>
    <row r="121" spans="1:21" s="28" customFormat="1" ht="12.75" customHeight="1" x14ac:dyDescent="0.2">
      <c r="A121" s="68" t="s">
        <v>82</v>
      </c>
      <c r="B121" s="69" t="s">
        <v>31</v>
      </c>
      <c r="C121" s="70">
        <v>56310.929499999998</v>
      </c>
      <c r="D121" s="70">
        <v>2.9999999999999997E-4</v>
      </c>
      <c r="E121" s="40">
        <f t="shared" si="17"/>
        <v>18799.668279102276</v>
      </c>
      <c r="F121" s="38">
        <f t="shared" si="18"/>
        <v>18800</v>
      </c>
      <c r="G121" s="28">
        <f t="shared" si="23"/>
        <v>-0.33410000000003492</v>
      </c>
      <c r="K121" s="28">
        <f t="shared" si="24"/>
        <v>-0.33410000000003492</v>
      </c>
      <c r="O121" s="28">
        <f t="shared" ca="1" si="20"/>
        <v>-0.33959051463073042</v>
      </c>
      <c r="Q121" s="30">
        <f t="shared" si="21"/>
        <v>41292.429499999998</v>
      </c>
    </row>
    <row r="122" spans="1:21" s="28" customFormat="1" ht="12.75" customHeight="1" x14ac:dyDescent="0.2">
      <c r="A122" s="71" t="s">
        <v>0</v>
      </c>
      <c r="B122" s="73" t="s">
        <v>31</v>
      </c>
      <c r="C122" s="74">
        <v>57798.498099999997</v>
      </c>
      <c r="D122" s="74">
        <v>1E-4</v>
      </c>
      <c r="E122" s="28">
        <f t="shared" si="17"/>
        <v>20276.644009166259</v>
      </c>
      <c r="F122" s="38">
        <f t="shared" si="18"/>
        <v>20277</v>
      </c>
      <c r="G122" s="28">
        <f t="shared" si="23"/>
        <v>-0.35854400000243913</v>
      </c>
      <c r="K122" s="28">
        <f t="shared" si="24"/>
        <v>-0.35854400000243913</v>
      </c>
      <c r="O122" s="28">
        <f t="shared" ca="1" si="20"/>
        <v>-0.36299368631071893</v>
      </c>
      <c r="Q122" s="30">
        <f t="shared" si="21"/>
        <v>42779.998099999997</v>
      </c>
    </row>
    <row r="123" spans="1:21" s="28" customFormat="1" ht="12.75" customHeight="1" x14ac:dyDescent="0.2">
      <c r="A123" s="64" t="s">
        <v>417</v>
      </c>
      <c r="B123" s="66" t="s">
        <v>31</v>
      </c>
      <c r="C123" s="65">
        <v>53093.0556</v>
      </c>
      <c r="D123" s="29"/>
      <c r="E123" s="28">
        <f t="shared" si="17"/>
        <v>15604.708629707737</v>
      </c>
      <c r="F123" s="38">
        <f t="shared" si="18"/>
        <v>15605</v>
      </c>
      <c r="G123" s="28">
        <f t="shared" si="23"/>
        <v>-0.29346000000077765</v>
      </c>
      <c r="K123" s="28">
        <f t="shared" si="24"/>
        <v>-0.29346000000077765</v>
      </c>
      <c r="O123" s="28">
        <f t="shared" ca="1" si="20"/>
        <v>-0.28896550886393069</v>
      </c>
      <c r="Q123" s="30">
        <f t="shared" si="21"/>
        <v>38074.5556</v>
      </c>
    </row>
    <row r="124" spans="1:21" s="28" customFormat="1" ht="12.75" customHeight="1" x14ac:dyDescent="0.2">
      <c r="A124" s="64" t="s">
        <v>434</v>
      </c>
      <c r="B124" s="66" t="s">
        <v>31</v>
      </c>
      <c r="C124" s="65">
        <v>54113.307699999998</v>
      </c>
      <c r="D124" s="29"/>
      <c r="E124" s="28">
        <f t="shared" si="17"/>
        <v>16617.695587248254</v>
      </c>
      <c r="F124" s="38">
        <f t="shared" si="18"/>
        <v>16618</v>
      </c>
      <c r="G124" s="28">
        <f t="shared" si="23"/>
        <v>-0.30659600000217324</v>
      </c>
      <c r="K124" s="28">
        <f t="shared" si="24"/>
        <v>-0.30659600000217324</v>
      </c>
      <c r="O124" s="28">
        <f t="shared" ca="1" si="20"/>
        <v>-0.30501656703036828</v>
      </c>
      <c r="Q124" s="30">
        <f t="shared" si="21"/>
        <v>39094.807699999998</v>
      </c>
    </row>
    <row r="125" spans="1:21" s="28" customFormat="1" ht="12.75" customHeight="1" x14ac:dyDescent="0.2">
      <c r="A125" s="64" t="s">
        <v>446</v>
      </c>
      <c r="B125" s="66" t="s">
        <v>58</v>
      </c>
      <c r="C125" s="65">
        <v>54563.034500000002</v>
      </c>
      <c r="D125" s="29"/>
      <c r="E125" s="28">
        <f t="shared" si="17"/>
        <v>17064.219914771264</v>
      </c>
      <c r="F125" s="38">
        <f t="shared" si="18"/>
        <v>17064.5</v>
      </c>
      <c r="G125" s="28">
        <f t="shared" si="23"/>
        <v>-0.28209400000196183</v>
      </c>
      <c r="K125" s="28">
        <f t="shared" si="24"/>
        <v>-0.28209400000196183</v>
      </c>
      <c r="O125" s="28">
        <f t="shared" ca="1" si="20"/>
        <v>-0.31209139177993828</v>
      </c>
      <c r="Q125" s="30">
        <f t="shared" si="21"/>
        <v>39544.534500000002</v>
      </c>
    </row>
    <row r="126" spans="1:21" s="28" customFormat="1" ht="12.75" customHeight="1" x14ac:dyDescent="0.2">
      <c r="A126" s="64" t="s">
        <v>446</v>
      </c>
      <c r="B126" s="66" t="s">
        <v>58</v>
      </c>
      <c r="C126" s="65">
        <v>54569.053399999997</v>
      </c>
      <c r="D126" s="29"/>
      <c r="E126" s="28">
        <f t="shared" si="17"/>
        <v>17070.195954613508</v>
      </c>
      <c r="F126" s="38">
        <f t="shared" si="18"/>
        <v>17070.5</v>
      </c>
      <c r="G126" s="28">
        <f t="shared" si="23"/>
        <v>-0.30622600000788225</v>
      </c>
      <c r="K126" s="28">
        <f t="shared" si="24"/>
        <v>-0.30622600000788225</v>
      </c>
      <c r="O126" s="28">
        <f t="shared" ca="1" si="20"/>
        <v>-0.31218646221330315</v>
      </c>
      <c r="Q126" s="30">
        <f t="shared" si="21"/>
        <v>39550.553399999997</v>
      </c>
    </row>
    <row r="127" spans="1:21" s="28" customFormat="1" ht="12.75" customHeight="1" x14ac:dyDescent="0.2">
      <c r="A127" s="64" t="s">
        <v>460</v>
      </c>
      <c r="B127" s="66" t="s">
        <v>31</v>
      </c>
      <c r="C127" s="65">
        <v>54924.068700000003</v>
      </c>
      <c r="D127" s="29"/>
      <c r="E127" s="28">
        <f t="shared" si="17"/>
        <v>17422.68321597503</v>
      </c>
      <c r="F127" s="38">
        <f t="shared" si="18"/>
        <v>17423</v>
      </c>
      <c r="G127" s="28">
        <f t="shared" si="23"/>
        <v>-0.31905599999299739</v>
      </c>
      <c r="K127" s="28">
        <f t="shared" si="24"/>
        <v>-0.31905599999299739</v>
      </c>
      <c r="O127" s="28">
        <f t="shared" ca="1" si="20"/>
        <v>-0.31777185017348997</v>
      </c>
      <c r="Q127" s="30">
        <f t="shared" si="21"/>
        <v>39905.568700000003</v>
      </c>
    </row>
    <row r="128" spans="1:21" s="28" customFormat="1" ht="12.75" customHeight="1" x14ac:dyDescent="0.2">
      <c r="A128" s="64" t="s">
        <v>490</v>
      </c>
      <c r="B128" s="66" t="s">
        <v>31</v>
      </c>
      <c r="C128" s="65">
        <v>56337.114500000003</v>
      </c>
      <c r="D128" s="29"/>
      <c r="E128" s="28">
        <f t="shared" si="17"/>
        <v>18825.66681758429</v>
      </c>
      <c r="F128" s="38">
        <f t="shared" si="18"/>
        <v>18826</v>
      </c>
      <c r="G128" s="28">
        <f t="shared" si="23"/>
        <v>-0.33557199999631848</v>
      </c>
      <c r="K128" s="28">
        <f t="shared" si="24"/>
        <v>-0.33557199999631848</v>
      </c>
      <c r="O128" s="28">
        <f t="shared" ca="1" si="20"/>
        <v>-0.34000248650864495</v>
      </c>
      <c r="Q128" s="30">
        <f t="shared" si="21"/>
        <v>41318.614500000003</v>
      </c>
    </row>
    <row r="129" spans="1:17" s="28" customFormat="1" ht="12.75" customHeight="1" x14ac:dyDescent="0.2">
      <c r="A129" s="71" t="s">
        <v>1</v>
      </c>
      <c r="B129" s="72" t="s">
        <v>31</v>
      </c>
      <c r="C129" s="71">
        <v>57450.020600000003</v>
      </c>
      <c r="D129" s="71" t="s">
        <v>46</v>
      </c>
      <c r="E129" s="40">
        <f t="shared" si="17"/>
        <v>19930.647992597096</v>
      </c>
      <c r="F129" s="38">
        <f t="shared" si="18"/>
        <v>19931</v>
      </c>
      <c r="G129" s="28">
        <f t="shared" si="23"/>
        <v>-0.3545319999975618</v>
      </c>
      <c r="K129" s="28">
        <f t="shared" si="24"/>
        <v>-0.3545319999975618</v>
      </c>
      <c r="O129" s="28">
        <f t="shared" ca="1" si="20"/>
        <v>-0.3575112913200108</v>
      </c>
      <c r="Q129" s="30">
        <f t="shared" si="21"/>
        <v>42431.520600000003</v>
      </c>
    </row>
    <row r="130" spans="1:17" s="28" customFormat="1" ht="12.75" customHeight="1" x14ac:dyDescent="0.2">
      <c r="A130" s="75" t="s">
        <v>492</v>
      </c>
      <c r="B130" s="76" t="s">
        <v>58</v>
      </c>
      <c r="C130" s="77">
        <v>58185.747310000006</v>
      </c>
      <c r="D130" s="77">
        <v>1.1000000000000001E-3</v>
      </c>
      <c r="E130" s="40">
        <f>+(C130-C$7)/C$8</f>
        <v>20661.135645152968</v>
      </c>
      <c r="F130" s="38">
        <f t="shared" si="18"/>
        <v>20661.5</v>
      </c>
      <c r="G130" s="28">
        <f>+C130-(C$7+F130*C$8)</f>
        <v>-0.366967999994813</v>
      </c>
      <c r="K130" s="28">
        <f>+G130</f>
        <v>-0.366967999994813</v>
      </c>
      <c r="O130" s="28">
        <f ca="1">+C$11+C$12*$F130</f>
        <v>-0.36908611658218515</v>
      </c>
      <c r="Q130" s="30">
        <f>+C130-15018.5</f>
        <v>43167.247310000006</v>
      </c>
    </row>
    <row r="131" spans="1:17" s="28" customFormat="1" ht="12.75" customHeight="1" x14ac:dyDescent="0.2">
      <c r="A131" s="75" t="s">
        <v>493</v>
      </c>
      <c r="B131" s="76" t="s">
        <v>58</v>
      </c>
      <c r="C131" s="77">
        <v>58929.02</v>
      </c>
      <c r="D131" s="77" t="s">
        <v>35</v>
      </c>
      <c r="E131" s="40">
        <f>+(C131-C$7)/C$8</f>
        <v>21399.115543323282</v>
      </c>
      <c r="F131" s="38">
        <f t="shared" si="18"/>
        <v>21399.5</v>
      </c>
      <c r="G131" s="28">
        <f>+C131-(C$7+F131*C$8)</f>
        <v>-0.3872140000021318</v>
      </c>
      <c r="K131" s="28">
        <f>+G131</f>
        <v>-0.3872140000021318</v>
      </c>
      <c r="O131" s="28">
        <f ca="1">+C$11+C$12*$F131</f>
        <v>-0.38077977988606571</v>
      </c>
      <c r="Q131" s="30">
        <f>+C131-15018.5</f>
        <v>43910.52</v>
      </c>
    </row>
    <row r="132" spans="1:17" s="28" customFormat="1" ht="12.75" customHeight="1" x14ac:dyDescent="0.2">
      <c r="A132" s="75" t="s">
        <v>493</v>
      </c>
      <c r="B132" s="76" t="s">
        <v>58</v>
      </c>
      <c r="C132" s="77">
        <v>58929.0219</v>
      </c>
      <c r="D132" s="77" t="s">
        <v>46</v>
      </c>
      <c r="E132" s="40">
        <f>+(C132-C$7)/C$8</f>
        <v>21399.117429793521</v>
      </c>
      <c r="F132" s="38">
        <f t="shared" si="18"/>
        <v>21399.5</v>
      </c>
      <c r="G132" s="28">
        <f>+C132-(C$7+F132*C$8)</f>
        <v>-0.38531399999919813</v>
      </c>
      <c r="K132" s="28">
        <f>+G132</f>
        <v>-0.38531399999919813</v>
      </c>
      <c r="O132" s="28">
        <f ca="1">+C$11+C$12*$F132</f>
        <v>-0.38077977988606571</v>
      </c>
      <c r="Q132" s="30">
        <f>+C132-15018.5</f>
        <v>43910.5219</v>
      </c>
    </row>
    <row r="133" spans="1:17" s="28" customFormat="1" ht="12.75" customHeight="1" x14ac:dyDescent="0.2">
      <c r="A133" s="75" t="s">
        <v>493</v>
      </c>
      <c r="B133" s="76" t="s">
        <v>58</v>
      </c>
      <c r="C133" s="77">
        <v>58929.024799999999</v>
      </c>
      <c r="D133" s="77" t="s">
        <v>432</v>
      </c>
      <c r="E133" s="40">
        <f>+(C133-C$7)/C$8</f>
        <v>21399.120309142829</v>
      </c>
      <c r="F133" s="38">
        <f t="shared" si="18"/>
        <v>21399.5</v>
      </c>
      <c r="G133" s="28">
        <f>+C133-(C$7+F133*C$8)</f>
        <v>-0.38241399999969872</v>
      </c>
      <c r="K133" s="28">
        <f>+G133</f>
        <v>-0.38241399999969872</v>
      </c>
      <c r="O133" s="28">
        <f ca="1">+C$11+C$12*$F133</f>
        <v>-0.38077977988606571</v>
      </c>
      <c r="Q133" s="30">
        <f>+C133-15018.5</f>
        <v>43910.524799999999</v>
      </c>
    </row>
    <row r="134" spans="1:17" s="28" customFormat="1" ht="12.75" customHeight="1" x14ac:dyDescent="0.2">
      <c r="A134" s="78" t="s">
        <v>494</v>
      </c>
      <c r="B134" s="79" t="s">
        <v>31</v>
      </c>
      <c r="C134" s="80">
        <v>59233.185399999842</v>
      </c>
      <c r="D134" s="78" t="s">
        <v>432</v>
      </c>
      <c r="E134" s="40">
        <f>+(C134-C$7)/C$8</f>
        <v>21701.115003196915</v>
      </c>
      <c r="F134" s="38">
        <f t="shared" ref="F134" si="25">ROUND(2*E134,0)/2+0.5</f>
        <v>21701.5</v>
      </c>
      <c r="G134" s="28">
        <f>+C134-(C$7+F134*C$8)</f>
        <v>-0.38775800015719142</v>
      </c>
      <c r="K134" s="28">
        <f>+G134</f>
        <v>-0.38775800015719142</v>
      </c>
      <c r="O134" s="28">
        <f ca="1">+C$11+C$12*$F134</f>
        <v>-0.38556499169876479</v>
      </c>
      <c r="Q134" s="30">
        <f>+C134-15018.5</f>
        <v>44214.685399999842</v>
      </c>
    </row>
    <row r="135" spans="1:17" s="28" customFormat="1" ht="12.75" customHeight="1" x14ac:dyDescent="0.2">
      <c r="B135" s="31"/>
      <c r="C135" s="29"/>
      <c r="D135" s="29"/>
    </row>
    <row r="136" spans="1:17" s="28" customFormat="1" ht="12.75" customHeight="1" x14ac:dyDescent="0.2">
      <c r="B136" s="31"/>
      <c r="C136" s="29"/>
      <c r="D136" s="29"/>
    </row>
    <row r="137" spans="1:17" s="28" customFormat="1" ht="12.75" customHeight="1" x14ac:dyDescent="0.2">
      <c r="B137" s="31"/>
      <c r="C137" s="29"/>
      <c r="D137" s="29"/>
    </row>
    <row r="138" spans="1:17" s="28" customFormat="1" ht="12.75" customHeight="1" x14ac:dyDescent="0.2">
      <c r="B138" s="31"/>
      <c r="C138" s="29"/>
      <c r="D138" s="29"/>
    </row>
    <row r="139" spans="1:17" s="28" customFormat="1" ht="12.75" customHeight="1" x14ac:dyDescent="0.2">
      <c r="B139" s="31"/>
      <c r="C139" s="29"/>
      <c r="D139" s="29"/>
    </row>
    <row r="140" spans="1:17" s="28" customFormat="1" ht="12.75" customHeight="1" x14ac:dyDescent="0.2">
      <c r="B140" s="31"/>
      <c r="C140" s="29"/>
      <c r="D140" s="29"/>
    </row>
    <row r="141" spans="1:17" s="28" customFormat="1" ht="12.75" customHeight="1" x14ac:dyDescent="0.2">
      <c r="B141" s="31"/>
      <c r="C141" s="29"/>
      <c r="D141" s="29"/>
    </row>
    <row r="142" spans="1:17" s="28" customFormat="1" ht="12.75" customHeight="1" x14ac:dyDescent="0.2">
      <c r="B142" s="31"/>
      <c r="C142" s="29"/>
      <c r="D142" s="29"/>
    </row>
    <row r="143" spans="1:17" s="28" customFormat="1" ht="12.75" customHeight="1" x14ac:dyDescent="0.2">
      <c r="B143" s="31"/>
      <c r="C143" s="29"/>
      <c r="D143" s="29"/>
    </row>
    <row r="144" spans="1:17" s="28" customFormat="1" ht="12.75" customHeight="1" x14ac:dyDescent="0.2">
      <c r="B144" s="31"/>
      <c r="C144" s="29"/>
      <c r="D144" s="29"/>
    </row>
    <row r="145" spans="2:4" s="28" customFormat="1" ht="12.75" customHeight="1" x14ac:dyDescent="0.2">
      <c r="B145" s="31"/>
      <c r="C145" s="29"/>
      <c r="D145" s="29"/>
    </row>
    <row r="146" spans="2:4" s="28" customFormat="1" ht="12.75" customHeight="1" x14ac:dyDescent="0.2">
      <c r="B146" s="31"/>
      <c r="C146" s="29"/>
      <c r="D146" s="29"/>
    </row>
    <row r="147" spans="2:4" s="28" customFormat="1" ht="12.75" customHeight="1" x14ac:dyDescent="0.2">
      <c r="B147" s="31"/>
      <c r="C147" s="29"/>
      <c r="D147" s="29"/>
    </row>
    <row r="148" spans="2:4" s="28" customFormat="1" ht="12.75" customHeight="1" x14ac:dyDescent="0.2">
      <c r="B148" s="31"/>
      <c r="C148" s="29"/>
      <c r="D148" s="29"/>
    </row>
    <row r="149" spans="2:4" s="28" customFormat="1" ht="12.75" customHeight="1" x14ac:dyDescent="0.2">
      <c r="B149" s="31"/>
      <c r="C149" s="29"/>
      <c r="D149" s="29"/>
    </row>
    <row r="150" spans="2:4" s="28" customFormat="1" ht="12.75" customHeight="1" x14ac:dyDescent="0.2">
      <c r="B150" s="31"/>
      <c r="C150" s="29"/>
      <c r="D150" s="29"/>
    </row>
    <row r="151" spans="2:4" s="28" customFormat="1" ht="12.75" customHeight="1" x14ac:dyDescent="0.2">
      <c r="B151" s="31"/>
      <c r="C151" s="29"/>
      <c r="D151" s="29"/>
    </row>
    <row r="152" spans="2:4" s="28" customFormat="1" ht="12.75" customHeight="1" x14ac:dyDescent="0.2">
      <c r="B152" s="31"/>
      <c r="C152" s="29"/>
      <c r="D152" s="29"/>
    </row>
    <row r="153" spans="2:4" s="28" customFormat="1" ht="12.75" customHeight="1" x14ac:dyDescent="0.2">
      <c r="B153" s="31"/>
      <c r="C153" s="29"/>
      <c r="D153" s="29"/>
    </row>
    <row r="154" spans="2:4" s="28" customFormat="1" ht="12.75" customHeight="1" x14ac:dyDescent="0.2">
      <c r="B154" s="31"/>
      <c r="C154" s="29"/>
      <c r="D154" s="29"/>
    </row>
    <row r="155" spans="2:4" s="28" customFormat="1" ht="12.75" customHeight="1" x14ac:dyDescent="0.2">
      <c r="B155" s="31"/>
      <c r="C155" s="29"/>
      <c r="D155" s="29"/>
    </row>
    <row r="156" spans="2:4" s="28" customFormat="1" ht="12.75" customHeight="1" x14ac:dyDescent="0.2">
      <c r="B156" s="31"/>
      <c r="C156" s="29"/>
      <c r="D156" s="29"/>
    </row>
    <row r="157" spans="2:4" s="28" customFormat="1" ht="12.75" customHeight="1" x14ac:dyDescent="0.2">
      <c r="B157" s="31"/>
      <c r="C157" s="29"/>
      <c r="D157" s="29"/>
    </row>
    <row r="158" spans="2:4" s="28" customFormat="1" ht="12.75" customHeight="1" x14ac:dyDescent="0.2">
      <c r="B158" s="31"/>
      <c r="C158" s="29"/>
      <c r="D158" s="29"/>
    </row>
    <row r="159" spans="2:4" s="28" customFormat="1" ht="12.75" customHeight="1" x14ac:dyDescent="0.2">
      <c r="C159" s="29"/>
      <c r="D159" s="29"/>
    </row>
    <row r="160" spans="2:4" s="28" customFormat="1" ht="12.75" customHeight="1" x14ac:dyDescent="0.2">
      <c r="C160" s="29"/>
      <c r="D160" s="29"/>
    </row>
    <row r="161" spans="3:4" s="28" customFormat="1" ht="12.75" customHeight="1" x14ac:dyDescent="0.2">
      <c r="C161" s="29"/>
      <c r="D161" s="29"/>
    </row>
    <row r="162" spans="3:4" s="28" customFormat="1" ht="12.75" customHeight="1" x14ac:dyDescent="0.2">
      <c r="C162" s="29"/>
      <c r="D162" s="29"/>
    </row>
    <row r="163" spans="3:4" s="28" customFormat="1" ht="12.75" customHeight="1" x14ac:dyDescent="0.2">
      <c r="C163" s="29"/>
      <c r="D163" s="29"/>
    </row>
    <row r="164" spans="3:4" s="28" customFormat="1" ht="12.75" customHeight="1" x14ac:dyDescent="0.2">
      <c r="C164" s="29"/>
      <c r="D164" s="29"/>
    </row>
    <row r="165" spans="3:4" s="28" customFormat="1" ht="12.75" customHeight="1" x14ac:dyDescent="0.2">
      <c r="C165" s="29"/>
      <c r="D165" s="29"/>
    </row>
    <row r="166" spans="3:4" s="28" customFormat="1" ht="12.75" customHeight="1" x14ac:dyDescent="0.2">
      <c r="C166" s="29"/>
      <c r="D166" s="29"/>
    </row>
    <row r="167" spans="3:4" s="28" customFormat="1" ht="12.75" customHeight="1" x14ac:dyDescent="0.2">
      <c r="C167" s="29"/>
      <c r="D167" s="29"/>
    </row>
    <row r="168" spans="3:4" s="28" customFormat="1" ht="12.75" customHeight="1" x14ac:dyDescent="0.2">
      <c r="C168" s="29"/>
      <c r="D168" s="29"/>
    </row>
    <row r="169" spans="3:4" s="28" customFormat="1" ht="12.75" customHeight="1" x14ac:dyDescent="0.2">
      <c r="C169" s="29"/>
      <c r="D169" s="29"/>
    </row>
    <row r="170" spans="3:4" s="28" customFormat="1" ht="12.75" customHeight="1" x14ac:dyDescent="0.2">
      <c r="C170" s="29"/>
      <c r="D170" s="29"/>
    </row>
    <row r="171" spans="3:4" s="28" customFormat="1" ht="12.75" customHeight="1" x14ac:dyDescent="0.2">
      <c r="C171" s="29"/>
      <c r="D171" s="29"/>
    </row>
    <row r="172" spans="3:4" s="28" customFormat="1" ht="12.75" customHeight="1" x14ac:dyDescent="0.2">
      <c r="C172" s="29"/>
      <c r="D172" s="29"/>
    </row>
    <row r="173" spans="3:4" s="28" customFormat="1" ht="12.75" customHeight="1" x14ac:dyDescent="0.2">
      <c r="C173" s="29"/>
      <c r="D173" s="29"/>
    </row>
    <row r="174" spans="3:4" s="28" customFormat="1" ht="12.75" customHeight="1" x14ac:dyDescent="0.2">
      <c r="C174" s="29"/>
      <c r="D174" s="29"/>
    </row>
    <row r="175" spans="3:4" s="28" customFormat="1" ht="12.75" customHeight="1" x14ac:dyDescent="0.2">
      <c r="C175" s="29"/>
      <c r="D175" s="29"/>
    </row>
    <row r="176" spans="3:4" s="28" customFormat="1" ht="12.75" customHeight="1" x14ac:dyDescent="0.2">
      <c r="C176" s="29"/>
      <c r="D176" s="29"/>
    </row>
    <row r="177" spans="3:4" s="28" customFormat="1" ht="12.75" customHeight="1" x14ac:dyDescent="0.2">
      <c r="C177" s="29"/>
      <c r="D177" s="29"/>
    </row>
    <row r="178" spans="3:4" s="28" customFormat="1" ht="12.75" customHeight="1" x14ac:dyDescent="0.2">
      <c r="C178" s="29"/>
      <c r="D178" s="29"/>
    </row>
    <row r="179" spans="3:4" s="28" customFormat="1" ht="12.75" customHeight="1" x14ac:dyDescent="0.2">
      <c r="C179" s="29"/>
      <c r="D179" s="29"/>
    </row>
    <row r="180" spans="3:4" s="28" customFormat="1" ht="12.75" customHeight="1" x14ac:dyDescent="0.2">
      <c r="C180" s="29"/>
      <c r="D180" s="29"/>
    </row>
    <row r="181" spans="3:4" s="28" customFormat="1" ht="12.75" customHeight="1" x14ac:dyDescent="0.2">
      <c r="C181" s="29"/>
      <c r="D181" s="29"/>
    </row>
    <row r="182" spans="3:4" s="28" customFormat="1" ht="12.75" customHeight="1" x14ac:dyDescent="0.2">
      <c r="C182" s="29"/>
      <c r="D182" s="29"/>
    </row>
    <row r="183" spans="3:4" s="28" customFormat="1" ht="12.75" customHeight="1" x14ac:dyDescent="0.2">
      <c r="C183" s="29"/>
      <c r="D183" s="29"/>
    </row>
    <row r="184" spans="3:4" s="28" customFormat="1" ht="12.75" customHeight="1" x14ac:dyDescent="0.2">
      <c r="C184" s="29"/>
      <c r="D184" s="29"/>
    </row>
    <row r="185" spans="3:4" s="28" customFormat="1" ht="12.75" customHeight="1" x14ac:dyDescent="0.2">
      <c r="C185" s="29"/>
      <c r="D185" s="29"/>
    </row>
    <row r="186" spans="3:4" s="28" customFormat="1" ht="12.75" customHeight="1" x14ac:dyDescent="0.2">
      <c r="C186" s="29"/>
      <c r="D186" s="29"/>
    </row>
    <row r="187" spans="3:4" s="28" customFormat="1" ht="12.75" customHeight="1" x14ac:dyDescent="0.2">
      <c r="C187" s="29"/>
      <c r="D187" s="29"/>
    </row>
    <row r="188" spans="3:4" s="28" customFormat="1" ht="12.75" customHeight="1" x14ac:dyDescent="0.2">
      <c r="C188" s="29"/>
      <c r="D188" s="29"/>
    </row>
    <row r="189" spans="3:4" s="28" customFormat="1" ht="12.75" customHeight="1" x14ac:dyDescent="0.2">
      <c r="C189" s="29"/>
      <c r="D189" s="29"/>
    </row>
    <row r="190" spans="3:4" s="28" customFormat="1" ht="12.75" customHeight="1" x14ac:dyDescent="0.2">
      <c r="C190" s="29"/>
      <c r="D190" s="29"/>
    </row>
    <row r="191" spans="3:4" s="28" customFormat="1" ht="12.75" customHeight="1" x14ac:dyDescent="0.2">
      <c r="C191" s="29"/>
      <c r="D191" s="29"/>
    </row>
    <row r="192" spans="3:4" s="28" customFormat="1" ht="12.75" customHeight="1" x14ac:dyDescent="0.2">
      <c r="C192" s="29"/>
      <c r="D192" s="29"/>
    </row>
    <row r="193" spans="3:4" s="28" customFormat="1" ht="12.75" customHeight="1" x14ac:dyDescent="0.2">
      <c r="C193" s="29"/>
      <c r="D193" s="29"/>
    </row>
    <row r="194" spans="3:4" s="28" customFormat="1" ht="12.75" customHeight="1" x14ac:dyDescent="0.2">
      <c r="C194" s="29"/>
      <c r="D194" s="29"/>
    </row>
    <row r="195" spans="3:4" s="28" customFormat="1" ht="12.75" customHeight="1" x14ac:dyDescent="0.2">
      <c r="C195" s="29"/>
      <c r="D195" s="29"/>
    </row>
    <row r="196" spans="3:4" s="28" customFormat="1" ht="12.75" customHeight="1" x14ac:dyDescent="0.2">
      <c r="C196" s="29"/>
      <c r="D196" s="29"/>
    </row>
    <row r="197" spans="3:4" s="28" customFormat="1" ht="12.75" customHeight="1" x14ac:dyDescent="0.2">
      <c r="C197" s="29"/>
      <c r="D197" s="29"/>
    </row>
    <row r="198" spans="3:4" s="28" customFormat="1" ht="12.75" customHeight="1" x14ac:dyDescent="0.2">
      <c r="C198" s="29"/>
      <c r="D198" s="29"/>
    </row>
    <row r="199" spans="3:4" s="28" customFormat="1" ht="12.75" customHeight="1" x14ac:dyDescent="0.2">
      <c r="C199" s="29"/>
      <c r="D199" s="29"/>
    </row>
    <row r="200" spans="3:4" s="28" customFormat="1" ht="12.75" customHeight="1" x14ac:dyDescent="0.2">
      <c r="C200" s="29"/>
      <c r="D200" s="29"/>
    </row>
    <row r="201" spans="3:4" s="28" customFormat="1" ht="12.75" customHeight="1" x14ac:dyDescent="0.2">
      <c r="C201" s="29"/>
      <c r="D201" s="29"/>
    </row>
    <row r="202" spans="3:4" s="28" customFormat="1" ht="12.75" customHeight="1" x14ac:dyDescent="0.2">
      <c r="C202" s="29"/>
      <c r="D202" s="29"/>
    </row>
    <row r="203" spans="3:4" s="28" customFormat="1" ht="12.75" customHeight="1" x14ac:dyDescent="0.2">
      <c r="C203" s="29"/>
      <c r="D203" s="29"/>
    </row>
    <row r="204" spans="3:4" s="28" customFormat="1" ht="12.75" customHeight="1" x14ac:dyDescent="0.2">
      <c r="C204" s="29"/>
      <c r="D204" s="29"/>
    </row>
    <row r="205" spans="3:4" s="28" customFormat="1" ht="12.75" customHeight="1" x14ac:dyDescent="0.2">
      <c r="C205" s="29"/>
      <c r="D205" s="29"/>
    </row>
    <row r="206" spans="3:4" s="28" customFormat="1" ht="12.75" customHeight="1" x14ac:dyDescent="0.2">
      <c r="C206" s="29"/>
      <c r="D206" s="29"/>
    </row>
    <row r="207" spans="3:4" s="28" customFormat="1" ht="12.75" customHeight="1" x14ac:dyDescent="0.2">
      <c r="C207" s="29"/>
      <c r="D207" s="29"/>
    </row>
    <row r="208" spans="3:4" s="28" customFormat="1" ht="12.75" customHeight="1" x14ac:dyDescent="0.2">
      <c r="C208" s="29"/>
      <c r="D208" s="29"/>
    </row>
    <row r="209" spans="3:4" s="28" customFormat="1" ht="12.75" customHeight="1" x14ac:dyDescent="0.2">
      <c r="C209" s="29"/>
      <c r="D209" s="29"/>
    </row>
    <row r="210" spans="3:4" s="28" customFormat="1" ht="12.75" customHeight="1" x14ac:dyDescent="0.2">
      <c r="C210" s="29"/>
      <c r="D210" s="29"/>
    </row>
    <row r="211" spans="3:4" s="28" customFormat="1" ht="12.75" customHeight="1" x14ac:dyDescent="0.2">
      <c r="C211" s="29"/>
      <c r="D211" s="29"/>
    </row>
    <row r="212" spans="3:4" s="28" customFormat="1" ht="12.75" customHeight="1" x14ac:dyDescent="0.2">
      <c r="C212" s="29"/>
      <c r="D212" s="29"/>
    </row>
    <row r="213" spans="3:4" s="28" customFormat="1" ht="12.75" customHeight="1" x14ac:dyDescent="0.2">
      <c r="C213" s="29"/>
      <c r="D213" s="29"/>
    </row>
    <row r="214" spans="3:4" s="28" customFormat="1" ht="12.75" customHeight="1" x14ac:dyDescent="0.2">
      <c r="C214" s="29"/>
      <c r="D214" s="29"/>
    </row>
    <row r="215" spans="3:4" s="28" customFormat="1" ht="12.75" customHeight="1" x14ac:dyDescent="0.2">
      <c r="C215" s="29"/>
      <c r="D215" s="29"/>
    </row>
    <row r="216" spans="3:4" s="28" customFormat="1" ht="12.75" customHeight="1" x14ac:dyDescent="0.2">
      <c r="C216" s="29"/>
      <c r="D216" s="29"/>
    </row>
    <row r="217" spans="3:4" s="28" customFormat="1" ht="12.75" customHeight="1" x14ac:dyDescent="0.2">
      <c r="C217" s="29"/>
      <c r="D217" s="29"/>
    </row>
    <row r="218" spans="3:4" s="28" customFormat="1" ht="12.75" customHeight="1" x14ac:dyDescent="0.2">
      <c r="C218" s="29"/>
      <c r="D218" s="29"/>
    </row>
    <row r="219" spans="3:4" s="28" customFormat="1" ht="12.75" customHeight="1" x14ac:dyDescent="0.2">
      <c r="C219" s="29"/>
      <c r="D219" s="29"/>
    </row>
    <row r="220" spans="3:4" s="28" customFormat="1" ht="12.75" customHeight="1" x14ac:dyDescent="0.2">
      <c r="C220" s="29"/>
      <c r="D220" s="29"/>
    </row>
    <row r="221" spans="3:4" s="28" customFormat="1" ht="12.75" customHeight="1" x14ac:dyDescent="0.2">
      <c r="C221" s="29"/>
      <c r="D221" s="29"/>
    </row>
    <row r="222" spans="3:4" s="28" customFormat="1" ht="12.75" customHeight="1" x14ac:dyDescent="0.2">
      <c r="C222" s="29"/>
      <c r="D222" s="29"/>
    </row>
    <row r="223" spans="3:4" s="28" customFormat="1" ht="12.75" customHeight="1" x14ac:dyDescent="0.2">
      <c r="C223" s="29"/>
      <c r="D223" s="29"/>
    </row>
    <row r="224" spans="3:4" s="28" customFormat="1" ht="12.75" customHeight="1" x14ac:dyDescent="0.2">
      <c r="C224" s="29"/>
      <c r="D224" s="29"/>
    </row>
    <row r="225" spans="3:4" s="28" customFormat="1" ht="12.75" customHeight="1" x14ac:dyDescent="0.2">
      <c r="C225" s="29"/>
      <c r="D225" s="29"/>
    </row>
    <row r="226" spans="3:4" s="28" customFormat="1" ht="12.75" customHeight="1" x14ac:dyDescent="0.2">
      <c r="C226" s="29"/>
      <c r="D226" s="29"/>
    </row>
    <row r="227" spans="3:4" s="28" customFormat="1" ht="12.75" customHeight="1" x14ac:dyDescent="0.2">
      <c r="C227" s="29"/>
      <c r="D227" s="29"/>
    </row>
    <row r="228" spans="3:4" s="28" customFormat="1" ht="12.75" customHeight="1" x14ac:dyDescent="0.2">
      <c r="C228" s="29"/>
      <c r="D228" s="29"/>
    </row>
    <row r="229" spans="3:4" s="28" customFormat="1" ht="12.75" customHeight="1" x14ac:dyDescent="0.2">
      <c r="C229" s="29"/>
      <c r="D229" s="29"/>
    </row>
    <row r="230" spans="3:4" s="28" customFormat="1" ht="12.75" customHeight="1" x14ac:dyDescent="0.2">
      <c r="C230" s="29"/>
      <c r="D230" s="29"/>
    </row>
    <row r="231" spans="3:4" s="28" customFormat="1" ht="12.75" customHeight="1" x14ac:dyDescent="0.2">
      <c r="C231" s="29"/>
      <c r="D231" s="29"/>
    </row>
    <row r="232" spans="3:4" s="28" customFormat="1" ht="12.75" customHeight="1" x14ac:dyDescent="0.2">
      <c r="C232" s="29"/>
      <c r="D232" s="29"/>
    </row>
    <row r="233" spans="3:4" s="28" customFormat="1" ht="12.75" customHeight="1" x14ac:dyDescent="0.2">
      <c r="C233" s="29"/>
      <c r="D233" s="29"/>
    </row>
    <row r="234" spans="3:4" s="28" customFormat="1" ht="12.75" customHeight="1" x14ac:dyDescent="0.2">
      <c r="C234" s="29"/>
      <c r="D234" s="29"/>
    </row>
    <row r="235" spans="3:4" s="28" customFormat="1" ht="12.75" customHeight="1" x14ac:dyDescent="0.2">
      <c r="C235" s="29"/>
      <c r="D235" s="29"/>
    </row>
    <row r="236" spans="3:4" s="28" customFormat="1" ht="12.75" customHeight="1" x14ac:dyDescent="0.2">
      <c r="C236" s="29"/>
      <c r="D236" s="29"/>
    </row>
    <row r="237" spans="3:4" s="28" customFormat="1" ht="12.75" customHeight="1" x14ac:dyDescent="0.2">
      <c r="C237" s="29"/>
      <c r="D237" s="29"/>
    </row>
    <row r="238" spans="3:4" s="28" customFormat="1" ht="12.75" customHeight="1" x14ac:dyDescent="0.2">
      <c r="C238" s="29"/>
      <c r="D238" s="29"/>
    </row>
    <row r="239" spans="3:4" s="28" customFormat="1" ht="12.75" customHeight="1" x14ac:dyDescent="0.2">
      <c r="C239" s="29"/>
      <c r="D239" s="29"/>
    </row>
    <row r="240" spans="3:4" s="28" customFormat="1" ht="12.75" customHeight="1" x14ac:dyDescent="0.2">
      <c r="C240" s="29"/>
      <c r="D240" s="29"/>
    </row>
    <row r="241" spans="3:4" s="28" customFormat="1" ht="12.75" customHeight="1" x14ac:dyDescent="0.2">
      <c r="C241" s="29"/>
      <c r="D241" s="29"/>
    </row>
    <row r="242" spans="3:4" s="28" customFormat="1" ht="12.75" customHeight="1" x14ac:dyDescent="0.2">
      <c r="C242" s="29"/>
      <c r="D242" s="29"/>
    </row>
    <row r="243" spans="3:4" s="28" customFormat="1" ht="12.75" customHeight="1" x14ac:dyDescent="0.2">
      <c r="C243" s="29"/>
      <c r="D243" s="29"/>
    </row>
    <row r="244" spans="3:4" s="28" customFormat="1" ht="12.75" customHeight="1" x14ac:dyDescent="0.2">
      <c r="C244" s="29"/>
      <c r="D244" s="29"/>
    </row>
    <row r="245" spans="3:4" s="28" customFormat="1" ht="12.75" customHeight="1" x14ac:dyDescent="0.2">
      <c r="C245" s="29"/>
      <c r="D245" s="29"/>
    </row>
    <row r="246" spans="3:4" s="28" customFormat="1" ht="12.75" customHeight="1" x14ac:dyDescent="0.2">
      <c r="C246" s="29"/>
      <c r="D246" s="29"/>
    </row>
    <row r="247" spans="3:4" s="28" customFormat="1" ht="12.75" customHeight="1" x14ac:dyDescent="0.2">
      <c r="C247" s="29"/>
      <c r="D247" s="29"/>
    </row>
    <row r="248" spans="3:4" s="28" customFormat="1" ht="12.75" customHeight="1" x14ac:dyDescent="0.2">
      <c r="C248" s="29"/>
      <c r="D248" s="29"/>
    </row>
    <row r="249" spans="3:4" s="28" customFormat="1" ht="12.75" customHeight="1" x14ac:dyDescent="0.2">
      <c r="C249" s="29"/>
      <c r="D249" s="29"/>
    </row>
    <row r="250" spans="3:4" s="28" customFormat="1" ht="12.75" customHeight="1" x14ac:dyDescent="0.2">
      <c r="C250" s="29"/>
      <c r="D250" s="29"/>
    </row>
    <row r="251" spans="3:4" s="28" customFormat="1" ht="12.75" customHeight="1" x14ac:dyDescent="0.2">
      <c r="C251" s="29"/>
      <c r="D251" s="29"/>
    </row>
    <row r="252" spans="3:4" s="28" customFormat="1" ht="12.75" customHeight="1" x14ac:dyDescent="0.2">
      <c r="C252" s="29"/>
      <c r="D252" s="29"/>
    </row>
    <row r="253" spans="3:4" s="28" customFormat="1" ht="12.75" customHeight="1" x14ac:dyDescent="0.2">
      <c r="C253" s="29"/>
      <c r="D253" s="29"/>
    </row>
    <row r="254" spans="3:4" s="28" customFormat="1" ht="12.75" customHeight="1" x14ac:dyDescent="0.2">
      <c r="C254" s="29"/>
      <c r="D254" s="29"/>
    </row>
    <row r="255" spans="3:4" s="28" customFormat="1" ht="12.75" customHeight="1" x14ac:dyDescent="0.2">
      <c r="C255" s="29"/>
      <c r="D255" s="29"/>
    </row>
    <row r="256" spans="3:4" s="28" customFormat="1" ht="12.75" customHeight="1" x14ac:dyDescent="0.2">
      <c r="C256" s="29"/>
      <c r="D256" s="29"/>
    </row>
    <row r="257" spans="3:4" s="28" customFormat="1" ht="12.75" customHeight="1" x14ac:dyDescent="0.2">
      <c r="C257" s="29"/>
      <c r="D257" s="29"/>
    </row>
    <row r="258" spans="3:4" s="28" customFormat="1" ht="12.75" customHeight="1" x14ac:dyDescent="0.2">
      <c r="C258" s="29"/>
      <c r="D258" s="29"/>
    </row>
    <row r="259" spans="3:4" s="28" customFormat="1" ht="12.75" customHeight="1" x14ac:dyDescent="0.2">
      <c r="C259" s="29"/>
      <c r="D259" s="29"/>
    </row>
    <row r="260" spans="3:4" s="28" customFormat="1" ht="12.75" customHeight="1" x14ac:dyDescent="0.2">
      <c r="C260" s="29"/>
      <c r="D260" s="29"/>
    </row>
    <row r="261" spans="3:4" s="28" customFormat="1" ht="12.75" customHeight="1" x14ac:dyDescent="0.2">
      <c r="C261" s="29"/>
      <c r="D261" s="29"/>
    </row>
    <row r="262" spans="3:4" s="28" customFormat="1" ht="12.75" customHeight="1" x14ac:dyDescent="0.2">
      <c r="C262" s="29"/>
      <c r="D262" s="29"/>
    </row>
    <row r="263" spans="3:4" s="28" customFormat="1" ht="12.75" customHeight="1" x14ac:dyDescent="0.2">
      <c r="C263" s="29"/>
      <c r="D263" s="29"/>
    </row>
    <row r="264" spans="3:4" s="28" customFormat="1" ht="12.75" customHeight="1" x14ac:dyDescent="0.2">
      <c r="C264" s="29"/>
      <c r="D264" s="29"/>
    </row>
    <row r="265" spans="3:4" s="28" customFormat="1" ht="12.75" customHeight="1" x14ac:dyDescent="0.2">
      <c r="C265" s="29"/>
      <c r="D265" s="29"/>
    </row>
    <row r="266" spans="3:4" s="28" customFormat="1" ht="12.75" customHeight="1" x14ac:dyDescent="0.2">
      <c r="C266" s="29"/>
      <c r="D266" s="29"/>
    </row>
    <row r="267" spans="3:4" s="28" customFormat="1" ht="12.75" customHeight="1" x14ac:dyDescent="0.2">
      <c r="C267" s="29"/>
      <c r="D267" s="29"/>
    </row>
    <row r="268" spans="3:4" s="28" customFormat="1" ht="12.75" customHeight="1" x14ac:dyDescent="0.2">
      <c r="C268" s="29"/>
      <c r="D268" s="29"/>
    </row>
    <row r="269" spans="3:4" s="28" customFormat="1" ht="12.75" customHeight="1" x14ac:dyDescent="0.2">
      <c r="C269" s="29"/>
      <c r="D269" s="29"/>
    </row>
    <row r="270" spans="3:4" s="28" customFormat="1" ht="12.75" customHeight="1" x14ac:dyDescent="0.2">
      <c r="C270" s="29"/>
      <c r="D270" s="29"/>
    </row>
    <row r="271" spans="3:4" s="28" customFormat="1" ht="12.75" customHeight="1" x14ac:dyDescent="0.2">
      <c r="C271" s="29"/>
      <c r="D271" s="29"/>
    </row>
    <row r="272" spans="3:4" s="28" customFormat="1" ht="12.75" customHeight="1" x14ac:dyDescent="0.2">
      <c r="C272" s="29"/>
      <c r="D272" s="29"/>
    </row>
    <row r="273" spans="3:4" s="28" customFormat="1" ht="12.75" customHeight="1" x14ac:dyDescent="0.2">
      <c r="C273" s="29"/>
      <c r="D273" s="29"/>
    </row>
    <row r="274" spans="3:4" s="28" customFormat="1" ht="12.75" customHeight="1" x14ac:dyDescent="0.2">
      <c r="C274" s="29"/>
      <c r="D274" s="29"/>
    </row>
    <row r="275" spans="3:4" s="28" customFormat="1" ht="12.75" customHeight="1" x14ac:dyDescent="0.2">
      <c r="C275" s="29"/>
      <c r="D275" s="29"/>
    </row>
    <row r="276" spans="3:4" s="28" customFormat="1" ht="12.75" customHeight="1" x14ac:dyDescent="0.2">
      <c r="C276" s="29"/>
      <c r="D276" s="29"/>
    </row>
    <row r="277" spans="3:4" s="28" customFormat="1" ht="12.75" customHeight="1" x14ac:dyDescent="0.2">
      <c r="C277" s="29"/>
      <c r="D277" s="29"/>
    </row>
    <row r="278" spans="3:4" s="28" customFormat="1" ht="12.75" customHeight="1" x14ac:dyDescent="0.2">
      <c r="C278" s="29"/>
      <c r="D278" s="29"/>
    </row>
    <row r="279" spans="3:4" s="28" customFormat="1" ht="12.75" customHeight="1" x14ac:dyDescent="0.2">
      <c r="C279" s="29"/>
      <c r="D279" s="29"/>
    </row>
    <row r="280" spans="3:4" s="28" customFormat="1" ht="12.75" customHeight="1" x14ac:dyDescent="0.2">
      <c r="C280" s="29"/>
      <c r="D280" s="29"/>
    </row>
    <row r="281" spans="3:4" s="28" customFormat="1" ht="12.75" customHeight="1" x14ac:dyDescent="0.2">
      <c r="C281" s="29"/>
      <c r="D281" s="29"/>
    </row>
    <row r="282" spans="3:4" s="28" customFormat="1" ht="12.75" customHeight="1" x14ac:dyDescent="0.2">
      <c r="C282" s="29"/>
      <c r="D282" s="29"/>
    </row>
    <row r="283" spans="3:4" s="28" customFormat="1" ht="12.75" customHeight="1" x14ac:dyDescent="0.2">
      <c r="C283" s="29"/>
      <c r="D283" s="29"/>
    </row>
    <row r="284" spans="3:4" s="28" customFormat="1" ht="12.75" customHeight="1" x14ac:dyDescent="0.2">
      <c r="C284" s="29"/>
      <c r="D284" s="29"/>
    </row>
    <row r="285" spans="3:4" s="28" customFormat="1" ht="12.75" customHeight="1" x14ac:dyDescent="0.2">
      <c r="C285" s="29"/>
      <c r="D285" s="29"/>
    </row>
    <row r="286" spans="3:4" s="28" customFormat="1" ht="12.75" customHeight="1" x14ac:dyDescent="0.2">
      <c r="C286" s="29"/>
      <c r="D286" s="29"/>
    </row>
    <row r="287" spans="3:4" s="28" customFormat="1" ht="12.75" customHeight="1" x14ac:dyDescent="0.2">
      <c r="C287" s="29"/>
      <c r="D287" s="29"/>
    </row>
    <row r="288" spans="3:4" s="28" customFormat="1" ht="12.75" customHeight="1" x14ac:dyDescent="0.2">
      <c r="C288" s="29"/>
      <c r="D288" s="29"/>
    </row>
    <row r="289" spans="3:4" s="28" customFormat="1" ht="12.75" customHeight="1" x14ac:dyDescent="0.2">
      <c r="C289" s="29"/>
      <c r="D289" s="29"/>
    </row>
    <row r="290" spans="3:4" s="28" customFormat="1" ht="12.75" customHeight="1" x14ac:dyDescent="0.2">
      <c r="C290" s="29"/>
      <c r="D290" s="29"/>
    </row>
    <row r="291" spans="3:4" s="28" customFormat="1" ht="12.75" customHeight="1" x14ac:dyDescent="0.2">
      <c r="C291" s="29"/>
      <c r="D291" s="29"/>
    </row>
    <row r="292" spans="3:4" s="28" customFormat="1" ht="12.75" customHeight="1" x14ac:dyDescent="0.2">
      <c r="C292" s="29"/>
      <c r="D292" s="29"/>
    </row>
    <row r="293" spans="3:4" s="28" customFormat="1" ht="12.75" customHeight="1" x14ac:dyDescent="0.2">
      <c r="C293" s="29"/>
      <c r="D293" s="29"/>
    </row>
    <row r="294" spans="3:4" s="28" customFormat="1" ht="12.75" customHeight="1" x14ac:dyDescent="0.2">
      <c r="C294" s="29"/>
      <c r="D294" s="29"/>
    </row>
    <row r="295" spans="3:4" s="28" customFormat="1" ht="12.75" customHeight="1" x14ac:dyDescent="0.2">
      <c r="C295" s="29"/>
      <c r="D295" s="29"/>
    </row>
    <row r="296" spans="3:4" s="28" customFormat="1" ht="12.75" customHeight="1" x14ac:dyDescent="0.2">
      <c r="C296" s="29"/>
      <c r="D296" s="29"/>
    </row>
    <row r="297" spans="3:4" s="28" customFormat="1" ht="12.75" customHeight="1" x14ac:dyDescent="0.2">
      <c r="C297" s="29"/>
      <c r="D297" s="29"/>
    </row>
    <row r="298" spans="3:4" s="28" customFormat="1" ht="12.75" customHeight="1" x14ac:dyDescent="0.2">
      <c r="C298" s="29"/>
      <c r="D298" s="29"/>
    </row>
    <row r="299" spans="3:4" s="28" customFormat="1" ht="12.75" customHeight="1" x14ac:dyDescent="0.2">
      <c r="C299" s="29"/>
      <c r="D299" s="29"/>
    </row>
    <row r="300" spans="3:4" s="28" customFormat="1" ht="12.75" customHeight="1" x14ac:dyDescent="0.2">
      <c r="C300" s="29"/>
      <c r="D300" s="29"/>
    </row>
    <row r="301" spans="3:4" s="28" customFormat="1" ht="12.75" customHeight="1" x14ac:dyDescent="0.2">
      <c r="C301" s="29"/>
      <c r="D301" s="29"/>
    </row>
    <row r="302" spans="3:4" s="28" customFormat="1" ht="12.75" customHeight="1" x14ac:dyDescent="0.2">
      <c r="C302" s="29"/>
      <c r="D302" s="29"/>
    </row>
    <row r="303" spans="3:4" s="28" customFormat="1" ht="12.75" customHeight="1" x14ac:dyDescent="0.2">
      <c r="C303" s="29"/>
      <c r="D303" s="29"/>
    </row>
    <row r="304" spans="3:4" s="28" customFormat="1" ht="12.75" customHeight="1" x14ac:dyDescent="0.2">
      <c r="C304" s="29"/>
      <c r="D304" s="29"/>
    </row>
    <row r="305" spans="3:4" s="28" customFormat="1" ht="12.75" customHeight="1" x14ac:dyDescent="0.2">
      <c r="C305" s="29"/>
      <c r="D305" s="29"/>
    </row>
    <row r="306" spans="3:4" s="28" customFormat="1" ht="12.75" customHeight="1" x14ac:dyDescent="0.2">
      <c r="C306" s="29"/>
      <c r="D306" s="29"/>
    </row>
    <row r="307" spans="3:4" s="28" customFormat="1" ht="12.75" customHeight="1" x14ac:dyDescent="0.2">
      <c r="C307" s="29"/>
      <c r="D307" s="29"/>
    </row>
    <row r="308" spans="3:4" s="28" customFormat="1" ht="12.75" customHeight="1" x14ac:dyDescent="0.2">
      <c r="C308" s="29"/>
      <c r="D308" s="29"/>
    </row>
    <row r="309" spans="3:4" s="28" customFormat="1" ht="12.75" customHeight="1" x14ac:dyDescent="0.2">
      <c r="C309" s="29"/>
      <c r="D309" s="29"/>
    </row>
    <row r="310" spans="3:4" s="28" customFormat="1" ht="12.75" customHeight="1" x14ac:dyDescent="0.2">
      <c r="C310" s="29"/>
      <c r="D310" s="29"/>
    </row>
    <row r="311" spans="3:4" s="28" customFormat="1" ht="12.75" customHeight="1" x14ac:dyDescent="0.2">
      <c r="C311" s="29"/>
      <c r="D311" s="29"/>
    </row>
    <row r="312" spans="3:4" s="28" customFormat="1" ht="12.75" customHeight="1" x14ac:dyDescent="0.2">
      <c r="C312" s="29"/>
      <c r="D312" s="29"/>
    </row>
    <row r="313" spans="3:4" s="28" customFormat="1" ht="12.75" customHeight="1" x14ac:dyDescent="0.2">
      <c r="C313" s="29"/>
      <c r="D313" s="29"/>
    </row>
    <row r="314" spans="3:4" s="28" customFormat="1" ht="12.75" customHeight="1" x14ac:dyDescent="0.2">
      <c r="C314" s="29"/>
      <c r="D314" s="29"/>
    </row>
    <row r="315" spans="3:4" s="28" customFormat="1" ht="12.75" customHeight="1" x14ac:dyDescent="0.2">
      <c r="C315" s="29"/>
      <c r="D315" s="29"/>
    </row>
    <row r="316" spans="3:4" s="28" customFormat="1" ht="12.75" customHeight="1" x14ac:dyDescent="0.2">
      <c r="C316" s="29"/>
      <c r="D316" s="29"/>
    </row>
    <row r="317" spans="3:4" s="28" customFormat="1" ht="12.75" customHeight="1" x14ac:dyDescent="0.2">
      <c r="C317" s="29"/>
      <c r="D317" s="29"/>
    </row>
    <row r="318" spans="3:4" s="28" customFormat="1" ht="12.75" customHeight="1" x14ac:dyDescent="0.2">
      <c r="C318" s="29"/>
      <c r="D318" s="29"/>
    </row>
    <row r="319" spans="3:4" s="28" customFormat="1" ht="12.75" customHeight="1" x14ac:dyDescent="0.2">
      <c r="C319" s="29"/>
      <c r="D319" s="29"/>
    </row>
    <row r="320" spans="3:4" s="28" customFormat="1" ht="12.75" customHeight="1" x14ac:dyDescent="0.2">
      <c r="C320" s="29"/>
      <c r="D320" s="29"/>
    </row>
    <row r="321" spans="3:4" s="28" customFormat="1" ht="12.75" customHeight="1" x14ac:dyDescent="0.2">
      <c r="C321" s="29"/>
      <c r="D321" s="29"/>
    </row>
    <row r="322" spans="3:4" s="28" customFormat="1" ht="12.75" customHeight="1" x14ac:dyDescent="0.2">
      <c r="C322" s="29"/>
      <c r="D322" s="29"/>
    </row>
    <row r="323" spans="3:4" s="28" customFormat="1" ht="12.75" customHeight="1" x14ac:dyDescent="0.2">
      <c r="C323" s="29"/>
      <c r="D323" s="29"/>
    </row>
    <row r="324" spans="3:4" s="28" customFormat="1" ht="12.75" customHeight="1" x14ac:dyDescent="0.2">
      <c r="C324" s="29"/>
      <c r="D324" s="29"/>
    </row>
    <row r="325" spans="3:4" s="28" customFormat="1" ht="12.75" customHeight="1" x14ac:dyDescent="0.2">
      <c r="C325" s="29"/>
      <c r="D325" s="29"/>
    </row>
    <row r="326" spans="3:4" s="28" customFormat="1" ht="12.75" customHeight="1" x14ac:dyDescent="0.2">
      <c r="C326" s="29"/>
      <c r="D326" s="29"/>
    </row>
    <row r="327" spans="3:4" s="28" customFormat="1" ht="12.75" customHeight="1" x14ac:dyDescent="0.2">
      <c r="C327" s="29"/>
      <c r="D327" s="29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</sheetData>
  <protectedRanges>
    <protectedRange sqref="A130:D133" name="Range1"/>
  </protectedRanges>
  <phoneticPr fontId="8" type="noConversion"/>
  <hyperlinks>
    <hyperlink ref="H64019" r:id="rId1" display="http://vsolj.cetus-net.org/bulletin.html"/>
    <hyperlink ref="H64012" r:id="rId2" display="https://www.aavso.org/ejaavso"/>
    <hyperlink ref="I64019" r:id="rId3" display="http://vsolj.cetus-net.org/bulletin.html"/>
    <hyperlink ref="AQ57670" r:id="rId4" display="http://cdsbib.u-strasbg.fr/cgi-bin/cdsbib?1990RMxAA..21..381G"/>
    <hyperlink ref="H64016" r:id="rId5" display="https://www.aavso.org/ejaavso"/>
    <hyperlink ref="AP5034" r:id="rId6" display="http://cdsbib.u-strasbg.fr/cgi-bin/cdsbib?1990RMxAA..21..381G"/>
    <hyperlink ref="AP5037" r:id="rId7" display="http://cdsbib.u-strasbg.fr/cgi-bin/cdsbib?1990RMxAA..21..381G"/>
    <hyperlink ref="AP5035" r:id="rId8" display="http://cdsbib.u-strasbg.fr/cgi-bin/cdsbib?1990RMxAA..21..381G"/>
    <hyperlink ref="AP5019" r:id="rId9" display="http://cdsbib.u-strasbg.fr/cgi-bin/cdsbib?1990RMxAA..21..381G"/>
    <hyperlink ref="AQ5248" r:id="rId10" display="http://cdsbib.u-strasbg.fr/cgi-bin/cdsbib?1990RMxAA..21..381G"/>
    <hyperlink ref="AQ5252" r:id="rId11" display="http://cdsbib.u-strasbg.fr/cgi-bin/cdsbib?1990RMxAA..21..381G"/>
    <hyperlink ref="AQ64932" r:id="rId12" display="http://cdsbib.u-strasbg.fr/cgi-bin/cdsbib?1990RMxAA..21..381G"/>
    <hyperlink ref="I2140" r:id="rId13" display="http://vsolj.cetus-net.org/bulletin.html"/>
    <hyperlink ref="H2140" r:id="rId14" display="http://vsolj.cetus-net.org/bulletin.html"/>
    <hyperlink ref="AQ57" r:id="rId15" display="http://cdsbib.u-strasbg.fr/cgi-bin/cdsbib?1990RMxAA..21..381G"/>
    <hyperlink ref="AQ56" r:id="rId16" display="http://cdsbib.u-strasbg.fr/cgi-bin/cdsbib?1990RMxAA..21..381G"/>
    <hyperlink ref="AP3310" r:id="rId17" display="http://cdsbib.u-strasbg.fr/cgi-bin/cdsbib?1990RMxAA..21..381G"/>
    <hyperlink ref="AP3328" r:id="rId18" display="http://cdsbib.u-strasbg.fr/cgi-bin/cdsbib?1990RMxAA..21..381G"/>
    <hyperlink ref="AP3329" r:id="rId19" display="http://cdsbib.u-strasbg.fr/cgi-bin/cdsbib?1990RMxAA..21..381G"/>
    <hyperlink ref="AP3325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5"/>
  <sheetViews>
    <sheetView topLeftCell="A64" workbookViewId="0">
      <selection activeCell="A55" sqref="A55:C11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51" t="s">
        <v>83</v>
      </c>
      <c r="I1" s="52" t="s">
        <v>84</v>
      </c>
      <c r="J1" s="53" t="s">
        <v>85</v>
      </c>
    </row>
    <row r="2" spans="1:16" x14ac:dyDescent="0.2">
      <c r="I2" s="54" t="s">
        <v>86</v>
      </c>
      <c r="J2" s="55" t="s">
        <v>87</v>
      </c>
    </row>
    <row r="3" spans="1:16" x14ac:dyDescent="0.2">
      <c r="A3" s="56" t="s">
        <v>88</v>
      </c>
      <c r="I3" s="54" t="s">
        <v>89</v>
      </c>
      <c r="J3" s="55" t="s">
        <v>90</v>
      </c>
    </row>
    <row r="4" spans="1:16" x14ac:dyDescent="0.2">
      <c r="I4" s="54" t="s">
        <v>91</v>
      </c>
      <c r="J4" s="55" t="s">
        <v>90</v>
      </c>
    </row>
    <row r="5" spans="1:16" ht="13.5" thickBot="1" x14ac:dyDescent="0.25">
      <c r="I5" s="57" t="s">
        <v>46</v>
      </c>
      <c r="J5" s="58" t="s">
        <v>92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MVS 568 </v>
      </c>
      <c r="B11" s="15" t="str">
        <f t="shared" ref="B11:B42" si="1">IF(H11=INT(H11),"I","II")</f>
        <v>I</v>
      </c>
      <c r="C11" s="10">
        <f t="shared" ref="C11:C42" si="2">1*G11</f>
        <v>37376.43</v>
      </c>
      <c r="D11" s="12" t="str">
        <f t="shared" ref="D11:D42" si="3">VLOOKUP(F11,I$1:J$5,2,FALSE)</f>
        <v>vis</v>
      </c>
      <c r="E11" s="59">
        <f>VLOOKUP(C11,Active!C$21:E$973,3,FALSE)</f>
        <v>0</v>
      </c>
      <c r="F11" s="15" t="s">
        <v>46</v>
      </c>
      <c r="G11" s="12" t="str">
        <f t="shared" ref="G11:G42" si="4">MID(I11,3,LEN(I11)-3)</f>
        <v>37376.430</v>
      </c>
      <c r="H11" s="10">
        <f t="shared" ref="H11:H42" si="5">1*K11</f>
        <v>0</v>
      </c>
      <c r="I11" s="60" t="s">
        <v>243</v>
      </c>
      <c r="J11" s="61" t="s">
        <v>244</v>
      </c>
      <c r="K11" s="60">
        <v>0</v>
      </c>
      <c r="L11" s="60" t="s">
        <v>245</v>
      </c>
      <c r="M11" s="61" t="s">
        <v>94</v>
      </c>
      <c r="N11" s="61"/>
      <c r="O11" s="62" t="s">
        <v>241</v>
      </c>
      <c r="P11" s="62" t="s">
        <v>242</v>
      </c>
    </row>
    <row r="12" spans="1:16" ht="12.75" customHeight="1" thickBot="1" x14ac:dyDescent="0.25">
      <c r="A12" s="10" t="str">
        <f t="shared" si="0"/>
        <v> BBS 21 </v>
      </c>
      <c r="B12" s="15" t="str">
        <f t="shared" si="1"/>
        <v>I</v>
      </c>
      <c r="C12" s="10">
        <f t="shared" si="2"/>
        <v>42460.42</v>
      </c>
      <c r="D12" s="12" t="str">
        <f t="shared" si="3"/>
        <v>vis</v>
      </c>
      <c r="E12" s="59">
        <f>VLOOKUP(C12,Active!C$21:E$973,3,FALSE)</f>
        <v>5047.7872697016974</v>
      </c>
      <c r="F12" s="15" t="s">
        <v>46</v>
      </c>
      <c r="G12" s="12" t="str">
        <f t="shared" si="4"/>
        <v>42460.420</v>
      </c>
      <c r="H12" s="10">
        <f t="shared" si="5"/>
        <v>5048</v>
      </c>
      <c r="I12" s="60" t="s">
        <v>246</v>
      </c>
      <c r="J12" s="61" t="s">
        <v>247</v>
      </c>
      <c r="K12" s="60">
        <v>5048</v>
      </c>
      <c r="L12" s="60" t="s">
        <v>248</v>
      </c>
      <c r="M12" s="61" t="s">
        <v>115</v>
      </c>
      <c r="N12" s="61"/>
      <c r="O12" s="62" t="s">
        <v>249</v>
      </c>
      <c r="P12" s="62" t="s">
        <v>250</v>
      </c>
    </row>
    <row r="13" spans="1:16" ht="12.75" customHeight="1" thickBot="1" x14ac:dyDescent="0.25">
      <c r="A13" s="10" t="str">
        <f t="shared" si="0"/>
        <v> BBS 21 </v>
      </c>
      <c r="B13" s="15" t="str">
        <f t="shared" si="1"/>
        <v>I</v>
      </c>
      <c r="C13" s="10">
        <f t="shared" si="2"/>
        <v>42464.421000000002</v>
      </c>
      <c r="D13" s="12" t="str">
        <f t="shared" si="3"/>
        <v>vis</v>
      </c>
      <c r="E13" s="59">
        <f>VLOOKUP(C13,Active!C$21:E$973,3,FALSE)</f>
        <v>5051.759778865975</v>
      </c>
      <c r="F13" s="15" t="s">
        <v>46</v>
      </c>
      <c r="G13" s="12" t="str">
        <f t="shared" si="4"/>
        <v>42464.421</v>
      </c>
      <c r="H13" s="10">
        <f t="shared" si="5"/>
        <v>5052</v>
      </c>
      <c r="I13" s="60" t="s">
        <v>251</v>
      </c>
      <c r="J13" s="61" t="s">
        <v>252</v>
      </c>
      <c r="K13" s="60">
        <v>5052</v>
      </c>
      <c r="L13" s="60" t="s">
        <v>253</v>
      </c>
      <c r="M13" s="61" t="s">
        <v>115</v>
      </c>
      <c r="N13" s="61"/>
      <c r="O13" s="62" t="s">
        <v>249</v>
      </c>
      <c r="P13" s="62" t="s">
        <v>250</v>
      </c>
    </row>
    <row r="14" spans="1:16" ht="12.75" customHeight="1" thickBot="1" x14ac:dyDescent="0.25">
      <c r="A14" s="10" t="str">
        <f t="shared" si="0"/>
        <v> BBS 27 </v>
      </c>
      <c r="B14" s="15" t="str">
        <f t="shared" si="1"/>
        <v>I</v>
      </c>
      <c r="C14" s="10">
        <f t="shared" si="2"/>
        <v>42869.319000000003</v>
      </c>
      <c r="D14" s="12" t="str">
        <f t="shared" si="3"/>
        <v>vis</v>
      </c>
      <c r="E14" s="59">
        <f>VLOOKUP(C14,Active!C$21:E$973,3,FALSE)</f>
        <v>5453.7745290774592</v>
      </c>
      <c r="F14" s="15" t="s">
        <v>46</v>
      </c>
      <c r="G14" s="12" t="str">
        <f t="shared" si="4"/>
        <v>42869.319</v>
      </c>
      <c r="H14" s="10">
        <f t="shared" si="5"/>
        <v>5454</v>
      </c>
      <c r="I14" s="60" t="s">
        <v>254</v>
      </c>
      <c r="J14" s="61" t="s">
        <v>255</v>
      </c>
      <c r="K14" s="60">
        <v>5454</v>
      </c>
      <c r="L14" s="60" t="s">
        <v>256</v>
      </c>
      <c r="M14" s="61" t="s">
        <v>115</v>
      </c>
      <c r="N14" s="61"/>
      <c r="O14" s="62" t="s">
        <v>249</v>
      </c>
      <c r="P14" s="62" t="s">
        <v>257</v>
      </c>
    </row>
    <row r="15" spans="1:16" ht="12.75" customHeight="1" thickBot="1" x14ac:dyDescent="0.25">
      <c r="A15" s="10" t="str">
        <f t="shared" si="0"/>
        <v> BBS 88 </v>
      </c>
      <c r="B15" s="15" t="str">
        <f t="shared" si="1"/>
        <v>I</v>
      </c>
      <c r="C15" s="10">
        <f t="shared" si="2"/>
        <v>47234.436000000002</v>
      </c>
      <c r="D15" s="12" t="str">
        <f t="shared" si="3"/>
        <v>vis</v>
      </c>
      <c r="E15" s="59">
        <f>VLOOKUP(C15,Active!C$21:E$973,3,FALSE)</f>
        <v>9787.8078421560585</v>
      </c>
      <c r="F15" s="15" t="s">
        <v>46</v>
      </c>
      <c r="G15" s="12" t="str">
        <f t="shared" si="4"/>
        <v>47234.436</v>
      </c>
      <c r="H15" s="10">
        <f t="shared" si="5"/>
        <v>9788</v>
      </c>
      <c r="I15" s="60" t="s">
        <v>258</v>
      </c>
      <c r="J15" s="61" t="s">
        <v>259</v>
      </c>
      <c r="K15" s="60">
        <v>9788</v>
      </c>
      <c r="L15" s="60" t="s">
        <v>260</v>
      </c>
      <c r="M15" s="61" t="s">
        <v>115</v>
      </c>
      <c r="N15" s="61"/>
      <c r="O15" s="62" t="s">
        <v>261</v>
      </c>
      <c r="P15" s="62" t="s">
        <v>262</v>
      </c>
    </row>
    <row r="16" spans="1:16" ht="12.75" customHeight="1" thickBot="1" x14ac:dyDescent="0.25">
      <c r="A16" s="10" t="str">
        <f t="shared" si="0"/>
        <v> BBS 88 </v>
      </c>
      <c r="B16" s="15" t="str">
        <f t="shared" si="1"/>
        <v>I</v>
      </c>
      <c r="C16" s="10">
        <f t="shared" si="2"/>
        <v>47235.451999999997</v>
      </c>
      <c r="D16" s="12" t="str">
        <f t="shared" si="3"/>
        <v>vis</v>
      </c>
      <c r="E16" s="59">
        <f>VLOOKUP(C16,Active!C$21:E$973,3,FALSE)</f>
        <v>9788.816607292496</v>
      </c>
      <c r="F16" s="15" t="s">
        <v>46</v>
      </c>
      <c r="G16" s="12" t="str">
        <f t="shared" si="4"/>
        <v>47235.452</v>
      </c>
      <c r="H16" s="10">
        <f t="shared" si="5"/>
        <v>9789</v>
      </c>
      <c r="I16" s="60" t="s">
        <v>263</v>
      </c>
      <c r="J16" s="61" t="s">
        <v>264</v>
      </c>
      <c r="K16" s="60">
        <v>9789</v>
      </c>
      <c r="L16" s="60" t="s">
        <v>265</v>
      </c>
      <c r="M16" s="61" t="s">
        <v>115</v>
      </c>
      <c r="N16" s="61"/>
      <c r="O16" s="62" t="s">
        <v>261</v>
      </c>
      <c r="P16" s="62" t="s">
        <v>262</v>
      </c>
    </row>
    <row r="17" spans="1:16" ht="12.75" customHeight="1" thickBot="1" x14ac:dyDescent="0.25">
      <c r="A17" s="10" t="str">
        <f t="shared" si="0"/>
        <v> BBS 88 </v>
      </c>
      <c r="B17" s="15" t="str">
        <f t="shared" si="1"/>
        <v>I</v>
      </c>
      <c r="C17" s="10">
        <f t="shared" si="2"/>
        <v>47239.474000000002</v>
      </c>
      <c r="D17" s="12" t="str">
        <f t="shared" si="3"/>
        <v>vis</v>
      </c>
      <c r="E17" s="59">
        <f>VLOOKUP(C17,Active!C$21:E$973,3,FALSE)</f>
        <v>9792.8099669172716</v>
      </c>
      <c r="F17" s="15" t="s">
        <v>46</v>
      </c>
      <c r="G17" s="12" t="str">
        <f t="shared" si="4"/>
        <v>47239.474</v>
      </c>
      <c r="H17" s="10">
        <f t="shared" si="5"/>
        <v>9793</v>
      </c>
      <c r="I17" s="60" t="s">
        <v>266</v>
      </c>
      <c r="J17" s="61" t="s">
        <v>267</v>
      </c>
      <c r="K17" s="60">
        <v>9793</v>
      </c>
      <c r="L17" s="60" t="s">
        <v>268</v>
      </c>
      <c r="M17" s="61" t="s">
        <v>115</v>
      </c>
      <c r="N17" s="61"/>
      <c r="O17" s="62" t="s">
        <v>261</v>
      </c>
      <c r="P17" s="62" t="s">
        <v>262</v>
      </c>
    </row>
    <row r="18" spans="1:16" ht="12.75" customHeight="1" thickBot="1" x14ac:dyDescent="0.25">
      <c r="A18" s="10" t="str">
        <f t="shared" si="0"/>
        <v> BBS 92 </v>
      </c>
      <c r="B18" s="15" t="str">
        <f t="shared" si="1"/>
        <v>I</v>
      </c>
      <c r="C18" s="10">
        <f t="shared" si="2"/>
        <v>47649.385000000002</v>
      </c>
      <c r="D18" s="12" t="str">
        <f t="shared" si="3"/>
        <v>vis</v>
      </c>
      <c r="E18" s="59">
        <f>VLOOKUP(C18,Active!C$21:E$973,3,FALSE)</f>
        <v>10199.802019913184</v>
      </c>
      <c r="F18" s="15" t="s">
        <v>46</v>
      </c>
      <c r="G18" s="12" t="str">
        <f t="shared" si="4"/>
        <v>47649.385</v>
      </c>
      <c r="H18" s="10">
        <f t="shared" si="5"/>
        <v>10200</v>
      </c>
      <c r="I18" s="60" t="s">
        <v>269</v>
      </c>
      <c r="J18" s="61" t="s">
        <v>270</v>
      </c>
      <c r="K18" s="60">
        <v>10200</v>
      </c>
      <c r="L18" s="60" t="s">
        <v>271</v>
      </c>
      <c r="M18" s="61" t="s">
        <v>115</v>
      </c>
      <c r="N18" s="61"/>
      <c r="O18" s="62" t="s">
        <v>272</v>
      </c>
      <c r="P18" s="62" t="s">
        <v>273</v>
      </c>
    </row>
    <row r="19" spans="1:16" ht="12.75" customHeight="1" thickBot="1" x14ac:dyDescent="0.25">
      <c r="A19" s="10" t="str">
        <f t="shared" si="0"/>
        <v> BBS 92 </v>
      </c>
      <c r="B19" s="15" t="str">
        <f t="shared" si="1"/>
        <v>I</v>
      </c>
      <c r="C19" s="10">
        <f t="shared" si="2"/>
        <v>47654.415999999997</v>
      </c>
      <c r="D19" s="12" t="str">
        <f t="shared" si="3"/>
        <v>vis</v>
      </c>
      <c r="E19" s="59">
        <f>VLOOKUP(C19,Active!C$21:E$973,3,FALSE)</f>
        <v>10204.797194520894</v>
      </c>
      <c r="F19" s="15" t="s">
        <v>46</v>
      </c>
      <c r="G19" s="12" t="str">
        <f t="shared" si="4"/>
        <v>47654.416</v>
      </c>
      <c r="H19" s="10">
        <f t="shared" si="5"/>
        <v>10205</v>
      </c>
      <c r="I19" s="60" t="s">
        <v>274</v>
      </c>
      <c r="J19" s="61" t="s">
        <v>275</v>
      </c>
      <c r="K19" s="60">
        <v>10205</v>
      </c>
      <c r="L19" s="60" t="s">
        <v>276</v>
      </c>
      <c r="M19" s="61" t="s">
        <v>115</v>
      </c>
      <c r="N19" s="61"/>
      <c r="O19" s="62" t="s">
        <v>272</v>
      </c>
      <c r="P19" s="62" t="s">
        <v>273</v>
      </c>
    </row>
    <row r="20" spans="1:16" ht="12.75" customHeight="1" thickBot="1" x14ac:dyDescent="0.25">
      <c r="A20" s="10" t="str">
        <f t="shared" si="0"/>
        <v> BBS 94 </v>
      </c>
      <c r="B20" s="15" t="str">
        <f t="shared" si="1"/>
        <v>I</v>
      </c>
      <c r="C20" s="10">
        <f t="shared" si="2"/>
        <v>47944.468000000001</v>
      </c>
      <c r="D20" s="12" t="str">
        <f t="shared" si="3"/>
        <v>vis</v>
      </c>
      <c r="E20" s="59">
        <f>VLOOKUP(C20,Active!C$21:E$973,3,FALSE)</f>
        <v>10492.783754909788</v>
      </c>
      <c r="F20" s="15" t="s">
        <v>46</v>
      </c>
      <c r="G20" s="12" t="str">
        <f t="shared" si="4"/>
        <v>47944.468</v>
      </c>
      <c r="H20" s="10">
        <f t="shared" si="5"/>
        <v>10493</v>
      </c>
      <c r="I20" s="60" t="s">
        <v>277</v>
      </c>
      <c r="J20" s="61" t="s">
        <v>278</v>
      </c>
      <c r="K20" s="60">
        <v>10493</v>
      </c>
      <c r="L20" s="60" t="s">
        <v>279</v>
      </c>
      <c r="M20" s="61" t="s">
        <v>115</v>
      </c>
      <c r="N20" s="61"/>
      <c r="O20" s="62" t="s">
        <v>261</v>
      </c>
      <c r="P20" s="62" t="s">
        <v>280</v>
      </c>
    </row>
    <row r="21" spans="1:16" ht="12.75" customHeight="1" thickBot="1" x14ac:dyDescent="0.25">
      <c r="A21" s="10" t="str">
        <f t="shared" si="0"/>
        <v> BRNO 31 </v>
      </c>
      <c r="B21" s="15" t="str">
        <f t="shared" si="1"/>
        <v>I</v>
      </c>
      <c r="C21" s="10">
        <f t="shared" si="2"/>
        <v>47947.508000000002</v>
      </c>
      <c r="D21" s="12" t="str">
        <f t="shared" si="3"/>
        <v>vis</v>
      </c>
      <c r="E21" s="59">
        <f>VLOOKUP(C21,Active!C$21:E$973,3,FALSE)</f>
        <v>10495.802107286543</v>
      </c>
      <c r="F21" s="15" t="s">
        <v>46</v>
      </c>
      <c r="G21" s="12" t="str">
        <f t="shared" si="4"/>
        <v>47947.508</v>
      </c>
      <c r="H21" s="10">
        <f t="shared" si="5"/>
        <v>10496</v>
      </c>
      <c r="I21" s="60" t="s">
        <v>291</v>
      </c>
      <c r="J21" s="61" t="s">
        <v>292</v>
      </c>
      <c r="K21" s="60">
        <v>10496</v>
      </c>
      <c r="L21" s="60" t="s">
        <v>271</v>
      </c>
      <c r="M21" s="61" t="s">
        <v>115</v>
      </c>
      <c r="N21" s="61"/>
      <c r="O21" s="62" t="s">
        <v>293</v>
      </c>
      <c r="P21" s="62" t="s">
        <v>294</v>
      </c>
    </row>
    <row r="22" spans="1:16" ht="12.75" customHeight="1" thickBot="1" x14ac:dyDescent="0.25">
      <c r="A22" s="10" t="str">
        <f t="shared" si="0"/>
        <v>BAVM 68 </v>
      </c>
      <c r="B22" s="15" t="str">
        <f t="shared" si="1"/>
        <v>II</v>
      </c>
      <c r="C22" s="10">
        <f t="shared" si="2"/>
        <v>48307.553399999997</v>
      </c>
      <c r="D22" s="12" t="str">
        <f t="shared" si="3"/>
        <v>vis</v>
      </c>
      <c r="E22" s="59">
        <f>VLOOKUP(C22,Active!C$21:E$973,3,FALSE)</f>
        <v>10853.283649664603</v>
      </c>
      <c r="F22" s="15" t="s">
        <v>46</v>
      </c>
      <c r="G22" s="12" t="str">
        <f t="shared" si="4"/>
        <v>48307.5534</v>
      </c>
      <c r="H22" s="10">
        <f t="shared" si="5"/>
        <v>10853.5</v>
      </c>
      <c r="I22" s="60" t="s">
        <v>295</v>
      </c>
      <c r="J22" s="61" t="s">
        <v>296</v>
      </c>
      <c r="K22" s="60">
        <v>10853.5</v>
      </c>
      <c r="L22" s="60" t="s">
        <v>297</v>
      </c>
      <c r="M22" s="61" t="s">
        <v>284</v>
      </c>
      <c r="N22" s="61" t="s">
        <v>46</v>
      </c>
      <c r="O22" s="62" t="s">
        <v>286</v>
      </c>
      <c r="P22" s="63" t="s">
        <v>298</v>
      </c>
    </row>
    <row r="23" spans="1:16" ht="12.75" customHeight="1" thickBot="1" x14ac:dyDescent="0.25">
      <c r="A23" s="10" t="str">
        <f t="shared" si="0"/>
        <v> BBS 97 </v>
      </c>
      <c r="B23" s="15" t="str">
        <f t="shared" si="1"/>
        <v>I</v>
      </c>
      <c r="C23" s="10">
        <f t="shared" si="2"/>
        <v>48348.349000000002</v>
      </c>
      <c r="D23" s="12" t="str">
        <f t="shared" si="3"/>
        <v>vis</v>
      </c>
      <c r="E23" s="59">
        <f>VLOOKUP(C23,Active!C$21:E$973,3,FALSE)</f>
        <v>10893.78874710576</v>
      </c>
      <c r="F23" s="15" t="s">
        <v>46</v>
      </c>
      <c r="G23" s="12" t="str">
        <f t="shared" si="4"/>
        <v>48348.349</v>
      </c>
      <c r="H23" s="10">
        <f t="shared" si="5"/>
        <v>10894</v>
      </c>
      <c r="I23" s="60" t="s">
        <v>299</v>
      </c>
      <c r="J23" s="61" t="s">
        <v>300</v>
      </c>
      <c r="K23" s="60">
        <v>10894</v>
      </c>
      <c r="L23" s="60" t="s">
        <v>301</v>
      </c>
      <c r="M23" s="61" t="s">
        <v>115</v>
      </c>
      <c r="N23" s="61"/>
      <c r="O23" s="62" t="s">
        <v>261</v>
      </c>
      <c r="P23" s="62" t="s">
        <v>302</v>
      </c>
    </row>
    <row r="24" spans="1:16" ht="12.75" customHeight="1" thickBot="1" x14ac:dyDescent="0.25">
      <c r="A24" s="10" t="str">
        <f t="shared" si="0"/>
        <v> BBS 97 </v>
      </c>
      <c r="B24" s="15" t="str">
        <f t="shared" si="1"/>
        <v>I</v>
      </c>
      <c r="C24" s="10">
        <f t="shared" si="2"/>
        <v>48356.3969</v>
      </c>
      <c r="D24" s="12" t="str">
        <f t="shared" si="3"/>
        <v>vis</v>
      </c>
      <c r="E24" s="59">
        <f>VLOOKUP(C24,Active!C$21:E$973,3,FALSE)</f>
        <v>10901.779338583678</v>
      </c>
      <c r="F24" s="15" t="s">
        <v>46</v>
      </c>
      <c r="G24" s="12" t="str">
        <f t="shared" si="4"/>
        <v>48356.3969</v>
      </c>
      <c r="H24" s="10">
        <f t="shared" si="5"/>
        <v>10902</v>
      </c>
      <c r="I24" s="60" t="s">
        <v>303</v>
      </c>
      <c r="J24" s="61" t="s">
        <v>304</v>
      </c>
      <c r="K24" s="60">
        <v>10902</v>
      </c>
      <c r="L24" s="60" t="s">
        <v>305</v>
      </c>
      <c r="M24" s="61" t="s">
        <v>284</v>
      </c>
      <c r="N24" s="61" t="s">
        <v>306</v>
      </c>
      <c r="O24" s="62" t="s">
        <v>249</v>
      </c>
      <c r="P24" s="62" t="s">
        <v>302</v>
      </c>
    </row>
    <row r="25" spans="1:16" ht="12.75" customHeight="1" thickBot="1" x14ac:dyDescent="0.25">
      <c r="A25" s="10" t="str">
        <f t="shared" si="0"/>
        <v> BBS 97 </v>
      </c>
      <c r="B25" s="15" t="str">
        <f t="shared" si="1"/>
        <v>I</v>
      </c>
      <c r="C25" s="10">
        <f t="shared" si="2"/>
        <v>48356.409</v>
      </c>
      <c r="D25" s="12" t="str">
        <f t="shared" si="3"/>
        <v>vis</v>
      </c>
      <c r="E25" s="59">
        <f>VLOOKUP(C25,Active!C$21:E$973,3,FALSE)</f>
        <v>10901.79135242044</v>
      </c>
      <c r="F25" s="15" t="s">
        <v>46</v>
      </c>
      <c r="G25" s="12" t="str">
        <f t="shared" si="4"/>
        <v>48356.409</v>
      </c>
      <c r="H25" s="10">
        <f t="shared" si="5"/>
        <v>10902</v>
      </c>
      <c r="I25" s="60" t="s">
        <v>307</v>
      </c>
      <c r="J25" s="61" t="s">
        <v>308</v>
      </c>
      <c r="K25" s="60">
        <v>10902</v>
      </c>
      <c r="L25" s="60" t="s">
        <v>309</v>
      </c>
      <c r="M25" s="61" t="s">
        <v>115</v>
      </c>
      <c r="N25" s="61"/>
      <c r="O25" s="62" t="s">
        <v>261</v>
      </c>
      <c r="P25" s="62" t="s">
        <v>302</v>
      </c>
    </row>
    <row r="26" spans="1:16" ht="12.75" customHeight="1" thickBot="1" x14ac:dyDescent="0.25">
      <c r="A26" s="10" t="str">
        <f t="shared" si="0"/>
        <v>BAVM 68 </v>
      </c>
      <c r="B26" s="15" t="str">
        <f t="shared" si="1"/>
        <v>I</v>
      </c>
      <c r="C26" s="10">
        <f t="shared" si="2"/>
        <v>48357.406799999997</v>
      </c>
      <c r="D26" s="12" t="str">
        <f t="shared" si="3"/>
        <v>vis</v>
      </c>
      <c r="E26" s="59">
        <f>VLOOKUP(C26,Active!C$21:E$973,3,FALSE)</f>
        <v>10902.782047157782</v>
      </c>
      <c r="F26" s="15" t="s">
        <v>46</v>
      </c>
      <c r="G26" s="12" t="str">
        <f t="shared" si="4"/>
        <v>48357.4068</v>
      </c>
      <c r="H26" s="10">
        <f t="shared" si="5"/>
        <v>10903</v>
      </c>
      <c r="I26" s="60" t="s">
        <v>310</v>
      </c>
      <c r="J26" s="61" t="s">
        <v>311</v>
      </c>
      <c r="K26" s="60">
        <v>10903</v>
      </c>
      <c r="L26" s="60" t="s">
        <v>312</v>
      </c>
      <c r="M26" s="61" t="s">
        <v>284</v>
      </c>
      <c r="N26" s="61" t="s">
        <v>313</v>
      </c>
      <c r="O26" s="62" t="s">
        <v>286</v>
      </c>
      <c r="P26" s="63" t="s">
        <v>298</v>
      </c>
    </row>
    <row r="27" spans="1:16" ht="12.75" customHeight="1" thickBot="1" x14ac:dyDescent="0.25">
      <c r="A27" s="10" t="str">
        <f t="shared" si="0"/>
        <v>BAVM 68 </v>
      </c>
      <c r="B27" s="15" t="str">
        <f t="shared" si="1"/>
        <v>I</v>
      </c>
      <c r="C27" s="10">
        <f t="shared" si="2"/>
        <v>48357.408600000002</v>
      </c>
      <c r="D27" s="12" t="str">
        <f t="shared" si="3"/>
        <v>vis</v>
      </c>
      <c r="E27" s="59">
        <f>VLOOKUP(C27,Active!C$21:E$973,3,FALSE)</f>
        <v>10902.783834340114</v>
      </c>
      <c r="F27" s="15" t="s">
        <v>46</v>
      </c>
      <c r="G27" s="12" t="str">
        <f t="shared" si="4"/>
        <v>48357.4086</v>
      </c>
      <c r="H27" s="10">
        <f t="shared" si="5"/>
        <v>10903</v>
      </c>
      <c r="I27" s="60" t="s">
        <v>314</v>
      </c>
      <c r="J27" s="61" t="s">
        <v>315</v>
      </c>
      <c r="K27" s="60">
        <v>10903</v>
      </c>
      <c r="L27" s="60" t="s">
        <v>316</v>
      </c>
      <c r="M27" s="61" t="s">
        <v>284</v>
      </c>
      <c r="N27" s="61" t="s">
        <v>285</v>
      </c>
      <c r="O27" s="62" t="s">
        <v>286</v>
      </c>
      <c r="P27" s="63" t="s">
        <v>298</v>
      </c>
    </row>
    <row r="28" spans="1:16" ht="12.75" customHeight="1" thickBot="1" x14ac:dyDescent="0.25">
      <c r="A28" s="10" t="str">
        <f t="shared" si="0"/>
        <v> BBS 98 </v>
      </c>
      <c r="B28" s="15" t="str">
        <f t="shared" si="1"/>
        <v>I</v>
      </c>
      <c r="C28" s="10">
        <f t="shared" si="2"/>
        <v>48361.43</v>
      </c>
      <c r="D28" s="12" t="str">
        <f t="shared" si="3"/>
        <v>PE</v>
      </c>
      <c r="E28" s="59">
        <f>VLOOKUP(C28,Active!C$21:E$973,3,FALSE)</f>
        <v>10906.776598237442</v>
      </c>
      <c r="F28" s="15" t="str">
        <f>LEFT(M28,1)</f>
        <v>E</v>
      </c>
      <c r="G28" s="12" t="str">
        <f t="shared" si="4"/>
        <v>48361.430</v>
      </c>
      <c r="H28" s="10">
        <f t="shared" si="5"/>
        <v>10907</v>
      </c>
      <c r="I28" s="60" t="s">
        <v>317</v>
      </c>
      <c r="J28" s="61" t="s">
        <v>318</v>
      </c>
      <c r="K28" s="60">
        <v>10907</v>
      </c>
      <c r="L28" s="60" t="s">
        <v>319</v>
      </c>
      <c r="M28" s="61" t="s">
        <v>284</v>
      </c>
      <c r="N28" s="61" t="s">
        <v>306</v>
      </c>
      <c r="O28" s="62" t="s">
        <v>272</v>
      </c>
      <c r="P28" s="62" t="s">
        <v>320</v>
      </c>
    </row>
    <row r="29" spans="1:16" ht="12.75" customHeight="1" thickBot="1" x14ac:dyDescent="0.25">
      <c r="A29" s="10" t="str">
        <f t="shared" si="0"/>
        <v> BBS 103 </v>
      </c>
      <c r="B29" s="15" t="str">
        <f t="shared" si="1"/>
        <v>I</v>
      </c>
      <c r="C29" s="10">
        <f t="shared" si="2"/>
        <v>49058.394999999997</v>
      </c>
      <c r="D29" s="12" t="str">
        <f t="shared" si="3"/>
        <v>vis</v>
      </c>
      <c r="E29" s="59">
        <f>VLOOKUP(C29,Active!C$21:E$973,3,FALSE)</f>
        <v>11598.778560166484</v>
      </c>
      <c r="F29" s="15" t="str">
        <f>LEFT(M29,1)</f>
        <v>V</v>
      </c>
      <c r="G29" s="12" t="str">
        <f t="shared" si="4"/>
        <v>49058.395</v>
      </c>
      <c r="H29" s="10">
        <f t="shared" si="5"/>
        <v>11599</v>
      </c>
      <c r="I29" s="60" t="s">
        <v>321</v>
      </c>
      <c r="J29" s="61" t="s">
        <v>322</v>
      </c>
      <c r="K29" s="60">
        <v>11599</v>
      </c>
      <c r="L29" s="60" t="s">
        <v>323</v>
      </c>
      <c r="M29" s="61" t="s">
        <v>115</v>
      </c>
      <c r="N29" s="61"/>
      <c r="O29" s="62" t="s">
        <v>261</v>
      </c>
      <c r="P29" s="62" t="s">
        <v>324</v>
      </c>
    </row>
    <row r="30" spans="1:16" ht="12.75" customHeight="1" thickBot="1" x14ac:dyDescent="0.25">
      <c r="A30" s="10" t="str">
        <f t="shared" si="0"/>
        <v> BBS 112 </v>
      </c>
      <c r="B30" s="15" t="str">
        <f t="shared" si="1"/>
        <v>I</v>
      </c>
      <c r="C30" s="10">
        <f t="shared" si="2"/>
        <v>50179.37</v>
      </c>
      <c r="D30" s="12" t="str">
        <f t="shared" si="3"/>
        <v>vis</v>
      </c>
      <c r="E30" s="59">
        <f>VLOOKUP(C30,Active!C$21:E$973,3,FALSE)</f>
        <v>12711.771177117715</v>
      </c>
      <c r="F30" s="15" t="str">
        <f>LEFT(M30,1)</f>
        <v>V</v>
      </c>
      <c r="G30" s="12" t="str">
        <f t="shared" si="4"/>
        <v>50179.370</v>
      </c>
      <c r="H30" s="10">
        <f t="shared" si="5"/>
        <v>12712</v>
      </c>
      <c r="I30" s="60" t="s">
        <v>325</v>
      </c>
      <c r="J30" s="61" t="s">
        <v>326</v>
      </c>
      <c r="K30" s="60">
        <v>12712</v>
      </c>
      <c r="L30" s="60" t="s">
        <v>327</v>
      </c>
      <c r="M30" s="61" t="s">
        <v>115</v>
      </c>
      <c r="N30" s="61"/>
      <c r="O30" s="62" t="s">
        <v>261</v>
      </c>
      <c r="P30" s="62" t="s">
        <v>328</v>
      </c>
    </row>
    <row r="31" spans="1:16" ht="12.75" customHeight="1" thickBot="1" x14ac:dyDescent="0.25">
      <c r="A31" s="10" t="str">
        <f t="shared" si="0"/>
        <v> BBS 112 </v>
      </c>
      <c r="B31" s="15" t="str">
        <f t="shared" si="1"/>
        <v>I</v>
      </c>
      <c r="C31" s="10">
        <f t="shared" si="2"/>
        <v>50188.425999999999</v>
      </c>
      <c r="D31" s="12" t="str">
        <f t="shared" si="3"/>
        <v>vis</v>
      </c>
      <c r="E31" s="59">
        <f>VLOOKUP(C31,Active!C$21:E$973,3,FALSE)</f>
        <v>12720.76268998741</v>
      </c>
      <c r="F31" s="15" t="str">
        <f>LEFT(M31,1)</f>
        <v>V</v>
      </c>
      <c r="G31" s="12" t="str">
        <f t="shared" si="4"/>
        <v>50188.426</v>
      </c>
      <c r="H31" s="10">
        <f t="shared" si="5"/>
        <v>12721</v>
      </c>
      <c r="I31" s="60" t="s">
        <v>329</v>
      </c>
      <c r="J31" s="61" t="s">
        <v>330</v>
      </c>
      <c r="K31" s="60">
        <v>12721</v>
      </c>
      <c r="L31" s="60" t="s">
        <v>331</v>
      </c>
      <c r="M31" s="61" t="s">
        <v>115</v>
      </c>
      <c r="N31" s="61"/>
      <c r="O31" s="62" t="s">
        <v>261</v>
      </c>
      <c r="P31" s="62" t="s">
        <v>328</v>
      </c>
    </row>
    <row r="32" spans="1:16" ht="12.75" customHeight="1" thickBot="1" x14ac:dyDescent="0.25">
      <c r="A32" s="10" t="str">
        <f t="shared" si="0"/>
        <v>IBVS 4888 </v>
      </c>
      <c r="B32" s="15" t="str">
        <f t="shared" si="1"/>
        <v>I</v>
      </c>
      <c r="C32" s="10">
        <f t="shared" si="2"/>
        <v>50895.440300000002</v>
      </c>
      <c r="D32" s="12" t="str">
        <f t="shared" si="3"/>
        <v>vis</v>
      </c>
      <c r="E32" s="59">
        <f>VLOOKUP(C32,Active!C$21:E$973,3,FALSE)</f>
        <v>13422.742391567679</v>
      </c>
      <c r="F32" s="15" t="s">
        <v>46</v>
      </c>
      <c r="G32" s="12" t="str">
        <f t="shared" si="4"/>
        <v>50895.4403</v>
      </c>
      <c r="H32" s="10">
        <f t="shared" si="5"/>
        <v>13423</v>
      </c>
      <c r="I32" s="60" t="s">
        <v>341</v>
      </c>
      <c r="J32" s="61" t="s">
        <v>342</v>
      </c>
      <c r="K32" s="60">
        <v>13423</v>
      </c>
      <c r="L32" s="60" t="s">
        <v>343</v>
      </c>
      <c r="M32" s="61" t="s">
        <v>284</v>
      </c>
      <c r="N32" s="61" t="s">
        <v>306</v>
      </c>
      <c r="O32" s="62" t="s">
        <v>344</v>
      </c>
      <c r="P32" s="63" t="s">
        <v>345</v>
      </c>
    </row>
    <row r="33" spans="1:16" ht="12.75" customHeight="1" thickBot="1" x14ac:dyDescent="0.25">
      <c r="A33" s="10" t="str">
        <f t="shared" si="0"/>
        <v>BAVM 117 </v>
      </c>
      <c r="B33" s="15" t="str">
        <f t="shared" si="1"/>
        <v>I</v>
      </c>
      <c r="C33" s="10">
        <f t="shared" si="2"/>
        <v>50896.446900000003</v>
      </c>
      <c r="D33" s="12" t="str">
        <f t="shared" si="3"/>
        <v>vis</v>
      </c>
      <c r="E33" s="59">
        <f>VLOOKUP(C33,Active!C$21:E$973,3,FALSE)</f>
        <v>13423.74182364085</v>
      </c>
      <c r="F33" s="15" t="s">
        <v>46</v>
      </c>
      <c r="G33" s="12" t="str">
        <f t="shared" si="4"/>
        <v>50896.4469</v>
      </c>
      <c r="H33" s="10">
        <f t="shared" si="5"/>
        <v>13424</v>
      </c>
      <c r="I33" s="60" t="s">
        <v>346</v>
      </c>
      <c r="J33" s="61" t="s">
        <v>347</v>
      </c>
      <c r="K33" s="60">
        <v>13424</v>
      </c>
      <c r="L33" s="60" t="s">
        <v>348</v>
      </c>
      <c r="M33" s="61" t="s">
        <v>284</v>
      </c>
      <c r="N33" s="61" t="s">
        <v>349</v>
      </c>
      <c r="O33" s="62" t="s">
        <v>350</v>
      </c>
      <c r="P33" s="63" t="s">
        <v>351</v>
      </c>
    </row>
    <row r="34" spans="1:16" ht="12.75" customHeight="1" thickBot="1" x14ac:dyDescent="0.25">
      <c r="A34" s="10" t="str">
        <f t="shared" si="0"/>
        <v> BBS 118 </v>
      </c>
      <c r="B34" s="15" t="str">
        <f t="shared" si="1"/>
        <v>I</v>
      </c>
      <c r="C34" s="10">
        <f t="shared" si="2"/>
        <v>50898.46</v>
      </c>
      <c r="D34" s="12" t="str">
        <f t="shared" si="3"/>
        <v>vis</v>
      </c>
      <c r="E34" s="59">
        <f>VLOOKUP(C34,Active!C$21:E$973,3,FALSE)</f>
        <v>13425.740588499282</v>
      </c>
      <c r="F34" s="15" t="s">
        <v>46</v>
      </c>
      <c r="G34" s="12" t="str">
        <f t="shared" si="4"/>
        <v>50898.460</v>
      </c>
      <c r="H34" s="10">
        <f t="shared" si="5"/>
        <v>13426</v>
      </c>
      <c r="I34" s="60" t="s">
        <v>352</v>
      </c>
      <c r="J34" s="61" t="s">
        <v>353</v>
      </c>
      <c r="K34" s="60">
        <v>13426</v>
      </c>
      <c r="L34" s="60" t="s">
        <v>354</v>
      </c>
      <c r="M34" s="61" t="s">
        <v>284</v>
      </c>
      <c r="N34" s="61" t="s">
        <v>306</v>
      </c>
      <c r="O34" s="62" t="s">
        <v>272</v>
      </c>
      <c r="P34" s="62" t="s">
        <v>355</v>
      </c>
    </row>
    <row r="35" spans="1:16" ht="12.75" customHeight="1" thickBot="1" x14ac:dyDescent="0.25">
      <c r="A35" s="10" t="str">
        <f t="shared" si="0"/>
        <v> BBS 119 </v>
      </c>
      <c r="B35" s="15" t="str">
        <f t="shared" si="1"/>
        <v>I</v>
      </c>
      <c r="C35" s="10">
        <f t="shared" si="2"/>
        <v>51199.601999999999</v>
      </c>
      <c r="D35" s="12" t="str">
        <f t="shared" si="3"/>
        <v>vis</v>
      </c>
      <c r="E35" s="59">
        <f>VLOOKUP(C35,Active!C$21:E$973,3,FALSE)</f>
        <v>13724.738177788897</v>
      </c>
      <c r="F35" s="15" t="s">
        <v>46</v>
      </c>
      <c r="G35" s="12" t="str">
        <f t="shared" si="4"/>
        <v>51199.602</v>
      </c>
      <c r="H35" s="10">
        <f t="shared" si="5"/>
        <v>13725</v>
      </c>
      <c r="I35" s="60" t="s">
        <v>356</v>
      </c>
      <c r="J35" s="61" t="s">
        <v>357</v>
      </c>
      <c r="K35" s="60">
        <v>13725</v>
      </c>
      <c r="L35" s="60" t="s">
        <v>358</v>
      </c>
      <c r="M35" s="61" t="s">
        <v>284</v>
      </c>
      <c r="N35" s="61" t="s">
        <v>306</v>
      </c>
      <c r="O35" s="62" t="s">
        <v>249</v>
      </c>
      <c r="P35" s="62" t="s">
        <v>359</v>
      </c>
    </row>
    <row r="36" spans="1:16" ht="12.75" customHeight="1" thickBot="1" x14ac:dyDescent="0.25">
      <c r="A36" s="10" t="str">
        <f t="shared" si="0"/>
        <v>BAVM 152 </v>
      </c>
      <c r="B36" s="15" t="str">
        <f t="shared" si="1"/>
        <v>I</v>
      </c>
      <c r="C36" s="10">
        <f t="shared" si="2"/>
        <v>52011.3698</v>
      </c>
      <c r="D36" s="12" t="str">
        <f t="shared" si="3"/>
        <v>vis</v>
      </c>
      <c r="E36" s="59">
        <f>VLOOKUP(C36,Active!C$21:E$973,3,FALSE)</f>
        <v>14530.725437164656</v>
      </c>
      <c r="F36" s="15" t="s">
        <v>46</v>
      </c>
      <c r="G36" s="12" t="str">
        <f t="shared" si="4"/>
        <v>52011.3698</v>
      </c>
      <c r="H36" s="10">
        <f t="shared" si="5"/>
        <v>14531</v>
      </c>
      <c r="I36" s="60" t="s">
        <v>360</v>
      </c>
      <c r="J36" s="61" t="s">
        <v>361</v>
      </c>
      <c r="K36" s="60">
        <v>14531</v>
      </c>
      <c r="L36" s="60" t="s">
        <v>362</v>
      </c>
      <c r="M36" s="61" t="s">
        <v>284</v>
      </c>
      <c r="N36" s="61" t="s">
        <v>363</v>
      </c>
      <c r="O36" s="62" t="s">
        <v>350</v>
      </c>
      <c r="P36" s="63" t="s">
        <v>364</v>
      </c>
    </row>
    <row r="37" spans="1:16" ht="12.75" customHeight="1" thickBot="1" x14ac:dyDescent="0.25">
      <c r="A37" s="10" t="str">
        <f t="shared" si="0"/>
        <v>BAVM 172 </v>
      </c>
      <c r="B37" s="15" t="str">
        <f t="shared" si="1"/>
        <v>I</v>
      </c>
      <c r="C37" s="10">
        <f t="shared" si="2"/>
        <v>52618.685799999999</v>
      </c>
      <c r="D37" s="12" t="str">
        <f t="shared" si="3"/>
        <v>vis</v>
      </c>
      <c r="E37" s="59">
        <f>VLOOKUP(C37,Active!C$21:E$973,3,FALSE)</f>
        <v>15133.71678323067</v>
      </c>
      <c r="F37" s="15" t="s">
        <v>46</v>
      </c>
      <c r="G37" s="12" t="str">
        <f t="shared" si="4"/>
        <v>52618.6858</v>
      </c>
      <c r="H37" s="10">
        <f t="shared" si="5"/>
        <v>15134</v>
      </c>
      <c r="I37" s="60" t="s">
        <v>365</v>
      </c>
      <c r="J37" s="61" t="s">
        <v>366</v>
      </c>
      <c r="K37" s="60" t="s">
        <v>367</v>
      </c>
      <c r="L37" s="60" t="s">
        <v>368</v>
      </c>
      <c r="M37" s="61" t="s">
        <v>284</v>
      </c>
      <c r="N37" s="61" t="s">
        <v>349</v>
      </c>
      <c r="O37" s="62" t="s">
        <v>369</v>
      </c>
      <c r="P37" s="63" t="s">
        <v>370</v>
      </c>
    </row>
    <row r="38" spans="1:16" ht="12.75" customHeight="1" thickBot="1" x14ac:dyDescent="0.25">
      <c r="A38" s="10" t="str">
        <f t="shared" si="0"/>
        <v> JAAVSO 41;122 </v>
      </c>
      <c r="B38" s="15" t="str">
        <f t="shared" si="1"/>
        <v>I</v>
      </c>
      <c r="C38" s="10">
        <f t="shared" si="2"/>
        <v>52647.892599999999</v>
      </c>
      <c r="D38" s="12" t="str">
        <f t="shared" si="3"/>
        <v>vis</v>
      </c>
      <c r="E38" s="59">
        <f>VLOOKUP(C38,Active!C$21:E$973,3,FALSE)</f>
        <v>15162.715603690333</v>
      </c>
      <c r="F38" s="15" t="s">
        <v>46</v>
      </c>
      <c r="G38" s="12" t="str">
        <f t="shared" si="4"/>
        <v>52647.8926</v>
      </c>
      <c r="H38" s="10">
        <f t="shared" si="5"/>
        <v>15163</v>
      </c>
      <c r="I38" s="60" t="s">
        <v>371</v>
      </c>
      <c r="J38" s="61" t="s">
        <v>372</v>
      </c>
      <c r="K38" s="60" t="s">
        <v>373</v>
      </c>
      <c r="L38" s="60" t="s">
        <v>374</v>
      </c>
      <c r="M38" s="61" t="s">
        <v>375</v>
      </c>
      <c r="N38" s="61" t="s">
        <v>115</v>
      </c>
      <c r="O38" s="62" t="s">
        <v>376</v>
      </c>
      <c r="P38" s="62" t="s">
        <v>377</v>
      </c>
    </row>
    <row r="39" spans="1:16" ht="12.75" customHeight="1" thickBot="1" x14ac:dyDescent="0.25">
      <c r="A39" s="10" t="str">
        <f t="shared" si="0"/>
        <v>IBVS 5616 </v>
      </c>
      <c r="B39" s="15" t="str">
        <f t="shared" si="1"/>
        <v>I</v>
      </c>
      <c r="C39" s="10">
        <f t="shared" si="2"/>
        <v>52718.393600000003</v>
      </c>
      <c r="D39" s="12" t="str">
        <f t="shared" si="3"/>
        <v>vis</v>
      </c>
      <c r="E39" s="59">
        <f>VLOOKUP(C39,Active!C$21:E$973,3,FALSE)</f>
        <v>15232.714571096103</v>
      </c>
      <c r="F39" s="15" t="s">
        <v>46</v>
      </c>
      <c r="G39" s="12" t="str">
        <f t="shared" si="4"/>
        <v>52718.3936</v>
      </c>
      <c r="H39" s="10">
        <f t="shared" si="5"/>
        <v>15233</v>
      </c>
      <c r="I39" s="60" t="s">
        <v>378</v>
      </c>
      <c r="J39" s="61" t="s">
        <v>379</v>
      </c>
      <c r="K39" s="60" t="s">
        <v>380</v>
      </c>
      <c r="L39" s="60" t="s">
        <v>381</v>
      </c>
      <c r="M39" s="61" t="s">
        <v>284</v>
      </c>
      <c r="N39" s="61" t="s">
        <v>306</v>
      </c>
      <c r="O39" s="62" t="s">
        <v>382</v>
      </c>
      <c r="P39" s="63" t="s">
        <v>383</v>
      </c>
    </row>
    <row r="40" spans="1:16" ht="12.75" customHeight="1" thickBot="1" x14ac:dyDescent="0.25">
      <c r="A40" s="10" t="str">
        <f t="shared" si="0"/>
        <v>IBVS 5577 </v>
      </c>
      <c r="B40" s="15" t="str">
        <f t="shared" si="1"/>
        <v>II</v>
      </c>
      <c r="C40" s="10">
        <f t="shared" si="2"/>
        <v>53003.921799999996</v>
      </c>
      <c r="D40" s="12" t="str">
        <f t="shared" si="3"/>
        <v>vis</v>
      </c>
      <c r="E40" s="59">
        <f>VLOOKUP(C40,Active!C$21:E$973,3,FALSE)</f>
        <v>15516.209545142237</v>
      </c>
      <c r="F40" s="15" t="s">
        <v>46</v>
      </c>
      <c r="G40" s="12" t="str">
        <f t="shared" si="4"/>
        <v>53003.9218</v>
      </c>
      <c r="H40" s="10">
        <f t="shared" si="5"/>
        <v>15516.5</v>
      </c>
      <c r="I40" s="60" t="s">
        <v>384</v>
      </c>
      <c r="J40" s="61" t="s">
        <v>385</v>
      </c>
      <c r="K40" s="60" t="s">
        <v>386</v>
      </c>
      <c r="L40" s="60" t="s">
        <v>387</v>
      </c>
      <c r="M40" s="61" t="s">
        <v>284</v>
      </c>
      <c r="N40" s="61" t="s">
        <v>306</v>
      </c>
      <c r="O40" s="62" t="s">
        <v>388</v>
      </c>
      <c r="P40" s="63" t="s">
        <v>389</v>
      </c>
    </row>
    <row r="41" spans="1:16" ht="12.75" customHeight="1" thickBot="1" x14ac:dyDescent="0.25">
      <c r="A41" s="10" t="str">
        <f t="shared" si="0"/>
        <v>IBVS 5583 </v>
      </c>
      <c r="B41" s="15" t="str">
        <f t="shared" si="1"/>
        <v>I</v>
      </c>
      <c r="C41" s="10">
        <f t="shared" si="2"/>
        <v>53029.6057</v>
      </c>
      <c r="D41" s="12" t="str">
        <f t="shared" si="3"/>
        <v>vis</v>
      </c>
      <c r="E41" s="59">
        <f>VLOOKUP(C41,Active!C$21:E$973,3,FALSE)</f>
        <v>15541.710551921618</v>
      </c>
      <c r="F41" s="15" t="s">
        <v>46</v>
      </c>
      <c r="G41" s="12" t="str">
        <f t="shared" si="4"/>
        <v>53029.6057</v>
      </c>
      <c r="H41" s="10">
        <f t="shared" si="5"/>
        <v>15542</v>
      </c>
      <c r="I41" s="60" t="s">
        <v>390</v>
      </c>
      <c r="J41" s="61" t="s">
        <v>391</v>
      </c>
      <c r="K41" s="60" t="s">
        <v>392</v>
      </c>
      <c r="L41" s="60" t="s">
        <v>393</v>
      </c>
      <c r="M41" s="61" t="s">
        <v>284</v>
      </c>
      <c r="N41" s="61" t="s">
        <v>306</v>
      </c>
      <c r="O41" s="62" t="s">
        <v>394</v>
      </c>
      <c r="P41" s="63" t="s">
        <v>395</v>
      </c>
    </row>
    <row r="42" spans="1:16" ht="12.75" customHeight="1" thickBot="1" x14ac:dyDescent="0.25">
      <c r="A42" s="10" t="str">
        <f t="shared" si="0"/>
        <v>IBVS 5577 </v>
      </c>
      <c r="B42" s="15" t="str">
        <f t="shared" si="1"/>
        <v>I</v>
      </c>
      <c r="C42" s="10">
        <f t="shared" si="2"/>
        <v>53053.777629999997</v>
      </c>
      <c r="D42" s="12" t="str">
        <f t="shared" si="3"/>
        <v>vis</v>
      </c>
      <c r="E42" s="59">
        <f>VLOOKUP(C42,Active!C$21:E$973,3,FALSE)</f>
        <v>15565.710355331559</v>
      </c>
      <c r="F42" s="15" t="s">
        <v>46</v>
      </c>
      <c r="G42" s="12" t="str">
        <f t="shared" si="4"/>
        <v>53053.77763</v>
      </c>
      <c r="H42" s="10">
        <f t="shared" si="5"/>
        <v>15566</v>
      </c>
      <c r="I42" s="60" t="s">
        <v>396</v>
      </c>
      <c r="J42" s="61" t="s">
        <v>397</v>
      </c>
      <c r="K42" s="60" t="s">
        <v>398</v>
      </c>
      <c r="L42" s="60" t="s">
        <v>399</v>
      </c>
      <c r="M42" s="61" t="s">
        <v>284</v>
      </c>
      <c r="N42" s="61" t="s">
        <v>306</v>
      </c>
      <c r="O42" s="62" t="s">
        <v>388</v>
      </c>
      <c r="P42" s="63" t="s">
        <v>389</v>
      </c>
    </row>
    <row r="43" spans="1:16" ht="12.75" customHeight="1" thickBot="1" x14ac:dyDescent="0.25">
      <c r="A43" s="10" t="str">
        <f t="shared" ref="A43:A74" si="6">P43</f>
        <v>IBVS 5577 </v>
      </c>
      <c r="B43" s="15" t="str">
        <f t="shared" ref="B43:B74" si="7">IF(H43=INT(H43),"I","II")</f>
        <v>I</v>
      </c>
      <c r="C43" s="10">
        <f t="shared" ref="C43:C74" si="8">1*G43</f>
        <v>53056.798369999997</v>
      </c>
      <c r="D43" s="12" t="str">
        <f t="shared" ref="D43:D74" si="9">VLOOKUP(F43,I$1:J$5,2,FALSE)</f>
        <v>vis</v>
      </c>
      <c r="E43" s="59">
        <f>VLOOKUP(C43,Active!C$21:E$973,3,FALSE)</f>
        <v>15568.709584857399</v>
      </c>
      <c r="F43" s="15" t="s">
        <v>46</v>
      </c>
      <c r="G43" s="12" t="str">
        <f t="shared" ref="G43:G74" si="10">MID(I43,3,LEN(I43)-3)</f>
        <v>53056.79837</v>
      </c>
      <c r="H43" s="10">
        <f t="shared" ref="H43:H74" si="11">1*K43</f>
        <v>15569</v>
      </c>
      <c r="I43" s="60" t="s">
        <v>400</v>
      </c>
      <c r="J43" s="61" t="s">
        <v>401</v>
      </c>
      <c r="K43" s="60" t="s">
        <v>402</v>
      </c>
      <c r="L43" s="60" t="s">
        <v>403</v>
      </c>
      <c r="M43" s="61" t="s">
        <v>284</v>
      </c>
      <c r="N43" s="61" t="s">
        <v>306</v>
      </c>
      <c r="O43" s="62" t="s">
        <v>388</v>
      </c>
      <c r="P43" s="63" t="s">
        <v>389</v>
      </c>
    </row>
    <row r="44" spans="1:16" ht="12.75" customHeight="1" thickBot="1" x14ac:dyDescent="0.25">
      <c r="A44" s="10" t="str">
        <f t="shared" si="6"/>
        <v>IBVS 5577 </v>
      </c>
      <c r="B44" s="15" t="str">
        <f t="shared" si="7"/>
        <v>I</v>
      </c>
      <c r="C44" s="10">
        <f t="shared" si="8"/>
        <v>53062.84173</v>
      </c>
      <c r="D44" s="12" t="str">
        <f t="shared" si="9"/>
        <v>vis</v>
      </c>
      <c r="E44" s="59">
        <f>VLOOKUP(C44,Active!C$21:E$973,3,FALSE)</f>
        <v>15574.709910521738</v>
      </c>
      <c r="F44" s="15" t="s">
        <v>46</v>
      </c>
      <c r="G44" s="12" t="str">
        <f t="shared" si="10"/>
        <v>53062.84173</v>
      </c>
      <c r="H44" s="10">
        <f t="shared" si="11"/>
        <v>15575</v>
      </c>
      <c r="I44" s="60" t="s">
        <v>404</v>
      </c>
      <c r="J44" s="61" t="s">
        <v>405</v>
      </c>
      <c r="K44" s="60" t="s">
        <v>406</v>
      </c>
      <c r="L44" s="60" t="s">
        <v>407</v>
      </c>
      <c r="M44" s="61" t="s">
        <v>284</v>
      </c>
      <c r="N44" s="61" t="s">
        <v>306</v>
      </c>
      <c r="O44" s="62" t="s">
        <v>388</v>
      </c>
      <c r="P44" s="63" t="s">
        <v>389</v>
      </c>
    </row>
    <row r="45" spans="1:16" ht="12.75" customHeight="1" thickBot="1" x14ac:dyDescent="0.25">
      <c r="A45" s="10" t="str">
        <f t="shared" si="6"/>
        <v>IBVS 5577 </v>
      </c>
      <c r="B45" s="15" t="str">
        <f t="shared" si="7"/>
        <v>I</v>
      </c>
      <c r="C45" s="10">
        <f t="shared" si="8"/>
        <v>53063.848720000002</v>
      </c>
      <c r="D45" s="12" t="str">
        <f t="shared" si="9"/>
        <v>vis</v>
      </c>
      <c r="E45" s="59">
        <f>VLOOKUP(C45,Active!C$21:E$973,3,FALSE)</f>
        <v>15575.709729817749</v>
      </c>
      <c r="F45" s="15" t="s">
        <v>46</v>
      </c>
      <c r="G45" s="12" t="str">
        <f t="shared" si="10"/>
        <v>53063.84872</v>
      </c>
      <c r="H45" s="10">
        <f t="shared" si="11"/>
        <v>15576</v>
      </c>
      <c r="I45" s="60" t="s">
        <v>408</v>
      </c>
      <c r="J45" s="61" t="s">
        <v>409</v>
      </c>
      <c r="K45" s="60" t="s">
        <v>410</v>
      </c>
      <c r="L45" s="60" t="s">
        <v>411</v>
      </c>
      <c r="M45" s="61" t="s">
        <v>284</v>
      </c>
      <c r="N45" s="61" t="s">
        <v>306</v>
      </c>
      <c r="O45" s="62" t="s">
        <v>388</v>
      </c>
      <c r="P45" s="63" t="s">
        <v>389</v>
      </c>
    </row>
    <row r="46" spans="1:16" ht="12.75" customHeight="1" thickBot="1" x14ac:dyDescent="0.25">
      <c r="A46" s="10" t="str">
        <f t="shared" si="6"/>
        <v>IBVS 5577 </v>
      </c>
      <c r="B46" s="15" t="str">
        <f t="shared" si="7"/>
        <v>II</v>
      </c>
      <c r="C46" s="10">
        <f t="shared" si="8"/>
        <v>53112.694799999997</v>
      </c>
      <c r="D46" s="12" t="str">
        <f t="shared" si="9"/>
        <v>vis</v>
      </c>
      <c r="E46" s="59">
        <f>VLOOKUP(C46,Active!C$21:E$973,3,FALSE)</f>
        <v>15624.207980364821</v>
      </c>
      <c r="F46" s="15" t="s">
        <v>46</v>
      </c>
      <c r="G46" s="12" t="str">
        <f t="shared" si="10"/>
        <v>53112.6948</v>
      </c>
      <c r="H46" s="10">
        <f t="shared" si="11"/>
        <v>15624.5</v>
      </c>
      <c r="I46" s="60" t="s">
        <v>418</v>
      </c>
      <c r="J46" s="61" t="s">
        <v>419</v>
      </c>
      <c r="K46" s="60" t="s">
        <v>420</v>
      </c>
      <c r="L46" s="60" t="s">
        <v>421</v>
      </c>
      <c r="M46" s="61" t="s">
        <v>284</v>
      </c>
      <c r="N46" s="61" t="s">
        <v>306</v>
      </c>
      <c r="O46" s="62" t="s">
        <v>388</v>
      </c>
      <c r="P46" s="63" t="s">
        <v>389</v>
      </c>
    </row>
    <row r="47" spans="1:16" ht="12.75" customHeight="1" thickBot="1" x14ac:dyDescent="0.25">
      <c r="A47" s="10" t="str">
        <f t="shared" si="6"/>
        <v>IBVS 5843 </v>
      </c>
      <c r="B47" s="15" t="str">
        <f t="shared" si="7"/>
        <v>I</v>
      </c>
      <c r="C47" s="10">
        <f t="shared" si="8"/>
        <v>53459.673999999999</v>
      </c>
      <c r="D47" s="12" t="str">
        <f t="shared" si="9"/>
        <v>vis</v>
      </c>
      <c r="E47" s="59">
        <f>VLOOKUP(C47,Active!C$21:E$973,3,FALSE)</f>
        <v>15968.716366221459</v>
      </c>
      <c r="F47" s="15" t="s">
        <v>46</v>
      </c>
      <c r="G47" s="12" t="str">
        <f t="shared" si="10"/>
        <v>53459.6740</v>
      </c>
      <c r="H47" s="10">
        <f t="shared" si="11"/>
        <v>15969</v>
      </c>
      <c r="I47" s="60" t="s">
        <v>422</v>
      </c>
      <c r="J47" s="61" t="s">
        <v>423</v>
      </c>
      <c r="K47" s="60" t="s">
        <v>424</v>
      </c>
      <c r="L47" s="60" t="s">
        <v>425</v>
      </c>
      <c r="M47" s="61" t="s">
        <v>375</v>
      </c>
      <c r="N47" s="61" t="s">
        <v>363</v>
      </c>
      <c r="O47" s="62" t="s">
        <v>426</v>
      </c>
      <c r="P47" s="63" t="s">
        <v>427</v>
      </c>
    </row>
    <row r="48" spans="1:16" ht="12.75" customHeight="1" thickBot="1" x14ac:dyDescent="0.25">
      <c r="A48" s="10" t="str">
        <f t="shared" si="6"/>
        <v>IBVS 5893 </v>
      </c>
      <c r="B48" s="15" t="str">
        <f t="shared" si="7"/>
        <v>I</v>
      </c>
      <c r="C48" s="10">
        <f t="shared" si="8"/>
        <v>54138.486199999999</v>
      </c>
      <c r="D48" s="12" t="str">
        <f t="shared" si="9"/>
        <v>vis</v>
      </c>
      <c r="E48" s="59">
        <f>VLOOKUP(C48,Active!C$21:E$973,3,FALSE)</f>
        <v>16642.694792945</v>
      </c>
      <c r="F48" s="15" t="s">
        <v>46</v>
      </c>
      <c r="G48" s="12" t="str">
        <f t="shared" si="10"/>
        <v>54138.4862</v>
      </c>
      <c r="H48" s="10">
        <f t="shared" si="11"/>
        <v>16643</v>
      </c>
      <c r="I48" s="60" t="s">
        <v>435</v>
      </c>
      <c r="J48" s="61" t="s">
        <v>436</v>
      </c>
      <c r="K48" s="60" t="s">
        <v>437</v>
      </c>
      <c r="L48" s="60" t="s">
        <v>438</v>
      </c>
      <c r="M48" s="61" t="s">
        <v>375</v>
      </c>
      <c r="N48" s="61" t="s">
        <v>84</v>
      </c>
      <c r="O48" s="62" t="s">
        <v>439</v>
      </c>
      <c r="P48" s="63" t="s">
        <v>440</v>
      </c>
    </row>
    <row r="49" spans="1:16" ht="12.75" customHeight="1" thickBot="1" x14ac:dyDescent="0.25">
      <c r="A49" s="10" t="str">
        <f t="shared" si="6"/>
        <v>IBVS 5894 </v>
      </c>
      <c r="B49" s="15" t="str">
        <f t="shared" si="7"/>
        <v>II</v>
      </c>
      <c r="C49" s="10">
        <f t="shared" si="8"/>
        <v>54890.536800000002</v>
      </c>
      <c r="D49" s="12" t="str">
        <f t="shared" si="9"/>
        <v>vis</v>
      </c>
      <c r="E49" s="59">
        <f>VLOOKUP(C49,Active!C$21:E$973,3,FALSE)</f>
        <v>17389.390094244085</v>
      </c>
      <c r="F49" s="15" t="s">
        <v>46</v>
      </c>
      <c r="G49" s="12" t="str">
        <f t="shared" si="10"/>
        <v>54890.5368</v>
      </c>
      <c r="H49" s="10">
        <f t="shared" si="11"/>
        <v>17389.5</v>
      </c>
      <c r="I49" s="60" t="s">
        <v>451</v>
      </c>
      <c r="J49" s="61" t="s">
        <v>452</v>
      </c>
      <c r="K49" s="60" t="s">
        <v>453</v>
      </c>
      <c r="L49" s="60" t="s">
        <v>454</v>
      </c>
      <c r="M49" s="61" t="s">
        <v>375</v>
      </c>
      <c r="N49" s="61" t="s">
        <v>46</v>
      </c>
      <c r="O49" s="62" t="s">
        <v>249</v>
      </c>
      <c r="P49" s="63" t="s">
        <v>455</v>
      </c>
    </row>
    <row r="50" spans="1:16" ht="12.75" customHeight="1" thickBot="1" x14ac:dyDescent="0.25">
      <c r="A50" s="10" t="str">
        <f t="shared" si="6"/>
        <v>IBVS 5893 </v>
      </c>
      <c r="B50" s="15" t="str">
        <f t="shared" si="7"/>
        <v>I</v>
      </c>
      <c r="C50" s="10">
        <f t="shared" si="8"/>
        <v>54961.339800000002</v>
      </c>
      <c r="D50" s="12" t="str">
        <f t="shared" si="9"/>
        <v>vis</v>
      </c>
      <c r="E50" s="59">
        <f>VLOOKUP(C50,Active!C$21:E$973,3,FALSE)</f>
        <v>17459.688911129382</v>
      </c>
      <c r="F50" s="15" t="s">
        <v>46</v>
      </c>
      <c r="G50" s="12" t="str">
        <f t="shared" si="10"/>
        <v>54961.3398</v>
      </c>
      <c r="H50" s="10">
        <f t="shared" si="11"/>
        <v>17460</v>
      </c>
      <c r="I50" s="60" t="s">
        <v>461</v>
      </c>
      <c r="J50" s="61" t="s">
        <v>462</v>
      </c>
      <c r="K50" s="60" t="s">
        <v>463</v>
      </c>
      <c r="L50" s="60" t="s">
        <v>464</v>
      </c>
      <c r="M50" s="61" t="s">
        <v>375</v>
      </c>
      <c r="N50" s="61" t="s">
        <v>84</v>
      </c>
      <c r="O50" s="62" t="s">
        <v>439</v>
      </c>
      <c r="P50" s="63" t="s">
        <v>440</v>
      </c>
    </row>
    <row r="51" spans="1:16" ht="12.75" customHeight="1" thickBot="1" x14ac:dyDescent="0.25">
      <c r="A51" s="10" t="str">
        <f t="shared" si="6"/>
        <v>IBVS 5893 </v>
      </c>
      <c r="B51" s="15" t="str">
        <f t="shared" si="7"/>
        <v>I</v>
      </c>
      <c r="C51" s="10">
        <f t="shared" si="8"/>
        <v>54966.370799999997</v>
      </c>
      <c r="D51" s="12" t="str">
        <f t="shared" si="9"/>
        <v>vis</v>
      </c>
      <c r="E51" s="59">
        <f>VLOOKUP(C51,Active!C$21:E$973,3,FALSE)</f>
        <v>17464.684085737092</v>
      </c>
      <c r="F51" s="15" t="s">
        <v>46</v>
      </c>
      <c r="G51" s="12" t="str">
        <f t="shared" si="10"/>
        <v>54966.3708</v>
      </c>
      <c r="H51" s="10">
        <f t="shared" si="11"/>
        <v>17465</v>
      </c>
      <c r="I51" s="60" t="s">
        <v>465</v>
      </c>
      <c r="J51" s="61" t="s">
        <v>466</v>
      </c>
      <c r="K51" s="60" t="s">
        <v>467</v>
      </c>
      <c r="L51" s="60" t="s">
        <v>468</v>
      </c>
      <c r="M51" s="61" t="s">
        <v>375</v>
      </c>
      <c r="N51" s="61" t="s">
        <v>46</v>
      </c>
      <c r="O51" s="62" t="s">
        <v>439</v>
      </c>
      <c r="P51" s="63" t="s">
        <v>440</v>
      </c>
    </row>
    <row r="52" spans="1:16" ht="12.75" customHeight="1" thickBot="1" x14ac:dyDescent="0.25">
      <c r="A52" s="10" t="str">
        <f t="shared" si="6"/>
        <v>IBVS 5988 </v>
      </c>
      <c r="B52" s="15" t="str">
        <f t="shared" si="7"/>
        <v>I</v>
      </c>
      <c r="C52" s="10">
        <f t="shared" si="8"/>
        <v>55321.386200000001</v>
      </c>
      <c r="D52" s="12" t="str">
        <f t="shared" si="9"/>
        <v>vis</v>
      </c>
      <c r="E52" s="59">
        <f>VLOOKUP(C52,Active!C$21:E$973,3,FALSE)</f>
        <v>17817.171446386517</v>
      </c>
      <c r="F52" s="15" t="s">
        <v>46</v>
      </c>
      <c r="G52" s="12" t="str">
        <f t="shared" si="10"/>
        <v>55321.3862</v>
      </c>
      <c r="H52" s="10">
        <f t="shared" si="11"/>
        <v>17817</v>
      </c>
      <c r="I52" s="60" t="s">
        <v>469</v>
      </c>
      <c r="J52" s="61" t="s">
        <v>470</v>
      </c>
      <c r="K52" s="60" t="s">
        <v>471</v>
      </c>
      <c r="L52" s="60" t="s">
        <v>472</v>
      </c>
      <c r="M52" s="61" t="s">
        <v>375</v>
      </c>
      <c r="N52" s="61" t="s">
        <v>473</v>
      </c>
      <c r="O52" s="62" t="s">
        <v>439</v>
      </c>
      <c r="P52" s="63" t="s">
        <v>474</v>
      </c>
    </row>
    <row r="53" spans="1:16" ht="12.75" customHeight="1" thickBot="1" x14ac:dyDescent="0.25">
      <c r="A53" s="10" t="str">
        <f t="shared" si="6"/>
        <v>IBVS 5992 </v>
      </c>
      <c r="B53" s="15" t="str">
        <f t="shared" si="7"/>
        <v>I</v>
      </c>
      <c r="C53" s="10">
        <f t="shared" si="8"/>
        <v>55600.881600000001</v>
      </c>
      <c r="D53" s="12" t="str">
        <f t="shared" si="9"/>
        <v>vis</v>
      </c>
      <c r="E53" s="59">
        <f>VLOOKUP(C53,Active!C$21:E$973,3,FALSE)</f>
        <v>18094.676579571315</v>
      </c>
      <c r="F53" s="15" t="s">
        <v>46</v>
      </c>
      <c r="G53" s="12" t="str">
        <f t="shared" si="10"/>
        <v>55600.8816</v>
      </c>
      <c r="H53" s="10">
        <f t="shared" si="11"/>
        <v>18095</v>
      </c>
      <c r="I53" s="60" t="s">
        <v>475</v>
      </c>
      <c r="J53" s="61" t="s">
        <v>476</v>
      </c>
      <c r="K53" s="60" t="s">
        <v>477</v>
      </c>
      <c r="L53" s="60" t="s">
        <v>478</v>
      </c>
      <c r="M53" s="61" t="s">
        <v>375</v>
      </c>
      <c r="N53" s="61" t="s">
        <v>46</v>
      </c>
      <c r="O53" s="62" t="s">
        <v>249</v>
      </c>
      <c r="P53" s="63" t="s">
        <v>479</v>
      </c>
    </row>
    <row r="54" spans="1:16" ht="12.75" customHeight="1" thickBot="1" x14ac:dyDescent="0.25">
      <c r="A54" s="10" t="str">
        <f t="shared" si="6"/>
        <v>IBVS 6063 </v>
      </c>
      <c r="B54" s="15" t="str">
        <f t="shared" si="7"/>
        <v>I</v>
      </c>
      <c r="C54" s="10">
        <f t="shared" si="8"/>
        <v>56310.929499999998</v>
      </c>
      <c r="D54" s="12" t="str">
        <f t="shared" si="9"/>
        <v>vis</v>
      </c>
      <c r="E54" s="59">
        <f>VLOOKUP(C54,Active!C$21:E$973,3,FALSE)</f>
        <v>18799.668279102276</v>
      </c>
      <c r="F54" s="15" t="s">
        <v>46</v>
      </c>
      <c r="G54" s="12" t="str">
        <f t="shared" si="10"/>
        <v>56310.9295</v>
      </c>
      <c r="H54" s="10">
        <f t="shared" si="11"/>
        <v>18800</v>
      </c>
      <c r="I54" s="60" t="s">
        <v>480</v>
      </c>
      <c r="J54" s="61" t="s">
        <v>481</v>
      </c>
      <c r="K54" s="60" t="s">
        <v>482</v>
      </c>
      <c r="L54" s="60" t="s">
        <v>483</v>
      </c>
      <c r="M54" s="61" t="s">
        <v>375</v>
      </c>
      <c r="N54" s="61" t="s">
        <v>46</v>
      </c>
      <c r="O54" s="62" t="s">
        <v>249</v>
      </c>
      <c r="P54" s="63" t="s">
        <v>484</v>
      </c>
    </row>
    <row r="55" spans="1:16" ht="12.75" customHeight="1" thickBot="1" x14ac:dyDescent="0.25">
      <c r="A55" s="10" t="str">
        <f t="shared" si="6"/>
        <v> MVS 434 </v>
      </c>
      <c r="B55" s="15" t="str">
        <f t="shared" si="7"/>
        <v>I</v>
      </c>
      <c r="C55" s="10">
        <f t="shared" si="8"/>
        <v>26417.387999999999</v>
      </c>
      <c r="D55" s="12" t="str">
        <f t="shared" si="9"/>
        <v>vis</v>
      </c>
      <c r="E55" s="59">
        <f>VLOOKUP(C55,Active!C$21:E$973,3,FALSE)</f>
        <v>-10881.00344330462</v>
      </c>
      <c r="F55" s="15" t="s">
        <v>46</v>
      </c>
      <c r="G55" s="12" t="str">
        <f t="shared" si="10"/>
        <v>26417.388</v>
      </c>
      <c r="H55" s="10">
        <f t="shared" si="11"/>
        <v>-10881</v>
      </c>
      <c r="I55" s="60" t="s">
        <v>95</v>
      </c>
      <c r="J55" s="61" t="s">
        <v>96</v>
      </c>
      <c r="K55" s="60">
        <v>-10881</v>
      </c>
      <c r="L55" s="60" t="s">
        <v>93</v>
      </c>
      <c r="M55" s="61" t="s">
        <v>97</v>
      </c>
      <c r="N55" s="61"/>
      <c r="O55" s="62" t="s">
        <v>98</v>
      </c>
      <c r="P55" s="62" t="s">
        <v>99</v>
      </c>
    </row>
    <row r="56" spans="1:16" ht="12.75" customHeight="1" thickBot="1" x14ac:dyDescent="0.25">
      <c r="A56" s="10" t="str">
        <f t="shared" si="6"/>
        <v> MVS 434 </v>
      </c>
      <c r="B56" s="15" t="str">
        <f t="shared" si="7"/>
        <v>I</v>
      </c>
      <c r="C56" s="10">
        <f t="shared" si="8"/>
        <v>26419.396000000001</v>
      </c>
      <c r="D56" s="12" t="str">
        <f t="shared" si="9"/>
        <v>vis</v>
      </c>
      <c r="E56" s="59">
        <f>VLOOKUP(C56,Active!C$21:E$973,3,FALSE)</f>
        <v>-10879.009742129449</v>
      </c>
      <c r="F56" s="15" t="s">
        <v>46</v>
      </c>
      <c r="G56" s="12" t="str">
        <f t="shared" si="10"/>
        <v>26419.396</v>
      </c>
      <c r="H56" s="10">
        <f t="shared" si="11"/>
        <v>-10879</v>
      </c>
      <c r="I56" s="60" t="s">
        <v>100</v>
      </c>
      <c r="J56" s="61" t="s">
        <v>101</v>
      </c>
      <c r="K56" s="60">
        <v>-10879</v>
      </c>
      <c r="L56" s="60" t="s">
        <v>102</v>
      </c>
      <c r="M56" s="61" t="s">
        <v>97</v>
      </c>
      <c r="N56" s="61"/>
      <c r="O56" s="62" t="s">
        <v>98</v>
      </c>
      <c r="P56" s="62" t="s">
        <v>99</v>
      </c>
    </row>
    <row r="57" spans="1:16" ht="12.75" customHeight="1" thickBot="1" x14ac:dyDescent="0.25">
      <c r="A57" s="10" t="str">
        <f t="shared" si="6"/>
        <v> MVS 434 </v>
      </c>
      <c r="B57" s="15" t="str">
        <f t="shared" si="7"/>
        <v>I</v>
      </c>
      <c r="C57" s="10">
        <f t="shared" si="8"/>
        <v>27534.37</v>
      </c>
      <c r="D57" s="12" t="str">
        <f t="shared" si="9"/>
        <v>vis</v>
      </c>
      <c r="E57" s="59">
        <f>VLOOKUP(C57,Active!C$21:E$973,3,FALSE)</f>
        <v>-9771.9753924850993</v>
      </c>
      <c r="F57" s="15" t="s">
        <v>46</v>
      </c>
      <c r="G57" s="12" t="str">
        <f t="shared" si="10"/>
        <v>27534.370</v>
      </c>
      <c r="H57" s="10">
        <f t="shared" si="11"/>
        <v>-9772</v>
      </c>
      <c r="I57" s="60" t="s">
        <v>103</v>
      </c>
      <c r="J57" s="61" t="s">
        <v>104</v>
      </c>
      <c r="K57" s="60">
        <v>-9772</v>
      </c>
      <c r="L57" s="60" t="s">
        <v>105</v>
      </c>
      <c r="M57" s="61" t="s">
        <v>97</v>
      </c>
      <c r="N57" s="61"/>
      <c r="O57" s="62" t="s">
        <v>98</v>
      </c>
      <c r="P57" s="62" t="s">
        <v>99</v>
      </c>
    </row>
    <row r="58" spans="1:16" ht="12.75" customHeight="1" thickBot="1" x14ac:dyDescent="0.25">
      <c r="A58" s="10" t="str">
        <f t="shared" si="6"/>
        <v> MVS 434 </v>
      </c>
      <c r="B58" s="15" t="str">
        <f t="shared" si="7"/>
        <v>I</v>
      </c>
      <c r="C58" s="10">
        <f t="shared" si="8"/>
        <v>27539.371999999999</v>
      </c>
      <c r="D58" s="12" t="str">
        <f t="shared" si="9"/>
        <v>vis</v>
      </c>
      <c r="E58" s="59">
        <f>VLOOKUP(C58,Active!C$21:E$973,3,FALSE)</f>
        <v>-9767.0090113704518</v>
      </c>
      <c r="F58" s="15" t="s">
        <v>46</v>
      </c>
      <c r="G58" s="12" t="str">
        <f t="shared" si="10"/>
        <v>27539.372</v>
      </c>
      <c r="H58" s="10">
        <f t="shared" si="11"/>
        <v>-9767</v>
      </c>
      <c r="I58" s="60" t="s">
        <v>106</v>
      </c>
      <c r="J58" s="61" t="s">
        <v>107</v>
      </c>
      <c r="K58" s="60">
        <v>-9767</v>
      </c>
      <c r="L58" s="60" t="s">
        <v>108</v>
      </c>
      <c r="M58" s="61" t="s">
        <v>97</v>
      </c>
      <c r="N58" s="61"/>
      <c r="O58" s="62" t="s">
        <v>98</v>
      </c>
      <c r="P58" s="62" t="s">
        <v>99</v>
      </c>
    </row>
    <row r="59" spans="1:16" ht="12.75" customHeight="1" thickBot="1" x14ac:dyDescent="0.25">
      <c r="A59" s="10" t="str">
        <f t="shared" si="6"/>
        <v> MVS 434 </v>
      </c>
      <c r="B59" s="15" t="str">
        <f t="shared" si="7"/>
        <v>I</v>
      </c>
      <c r="C59" s="10">
        <f t="shared" si="8"/>
        <v>27543.385999999999</v>
      </c>
      <c r="D59" s="12" t="str">
        <f t="shared" si="9"/>
        <v>vis</v>
      </c>
      <c r="E59" s="59">
        <f>VLOOKUP(C59,Active!C$21:E$973,3,FALSE)</f>
        <v>-9763.023594778253</v>
      </c>
      <c r="F59" s="15" t="s">
        <v>46</v>
      </c>
      <c r="G59" s="12" t="str">
        <f t="shared" si="10"/>
        <v>27543.386</v>
      </c>
      <c r="H59" s="10">
        <f t="shared" si="11"/>
        <v>-9763</v>
      </c>
      <c r="I59" s="60" t="s">
        <v>109</v>
      </c>
      <c r="J59" s="61" t="s">
        <v>110</v>
      </c>
      <c r="K59" s="60">
        <v>-9763</v>
      </c>
      <c r="L59" s="60" t="s">
        <v>111</v>
      </c>
      <c r="M59" s="61" t="s">
        <v>97</v>
      </c>
      <c r="N59" s="61"/>
      <c r="O59" s="62" t="s">
        <v>98</v>
      </c>
      <c r="P59" s="62" t="s">
        <v>99</v>
      </c>
    </row>
    <row r="60" spans="1:16" ht="12.75" customHeight="1" thickBot="1" x14ac:dyDescent="0.25">
      <c r="A60" s="10" t="str">
        <f t="shared" si="6"/>
        <v> PZ 5.112 </v>
      </c>
      <c r="B60" s="15" t="str">
        <f t="shared" si="7"/>
        <v>I</v>
      </c>
      <c r="C60" s="10">
        <f t="shared" si="8"/>
        <v>27562.278999999999</v>
      </c>
      <c r="D60" s="12" t="str">
        <f t="shared" si="9"/>
        <v>vis</v>
      </c>
      <c r="E60" s="59">
        <f>VLOOKUP(C60,Active!C$21:E$973,3,FALSE)</f>
        <v>-9744.2651304841693</v>
      </c>
      <c r="F60" s="15" t="s">
        <v>46</v>
      </c>
      <c r="G60" s="12" t="str">
        <f t="shared" si="10"/>
        <v>27562.279</v>
      </c>
      <c r="H60" s="10">
        <f t="shared" si="11"/>
        <v>-9744</v>
      </c>
      <c r="I60" s="60" t="s">
        <v>112</v>
      </c>
      <c r="J60" s="61" t="s">
        <v>113</v>
      </c>
      <c r="K60" s="60">
        <v>-9744</v>
      </c>
      <c r="L60" s="60" t="s">
        <v>114</v>
      </c>
      <c r="M60" s="61" t="s">
        <v>115</v>
      </c>
      <c r="N60" s="61"/>
      <c r="O60" s="62" t="s">
        <v>116</v>
      </c>
      <c r="P60" s="62" t="s">
        <v>117</v>
      </c>
    </row>
    <row r="61" spans="1:16" ht="12.75" customHeight="1" thickBot="1" x14ac:dyDescent="0.25">
      <c r="A61" s="10" t="str">
        <f t="shared" si="6"/>
        <v> MVS 434 </v>
      </c>
      <c r="B61" s="15" t="str">
        <f t="shared" si="7"/>
        <v>I</v>
      </c>
      <c r="C61" s="10">
        <f t="shared" si="8"/>
        <v>27841.524000000001</v>
      </c>
      <c r="D61" s="12" t="str">
        <f t="shared" si="9"/>
        <v>vis</v>
      </c>
      <c r="E61" s="59">
        <f>VLOOKUP(C61,Active!C$21:E$973,3,FALSE)</f>
        <v>-9467.0086142188229</v>
      </c>
      <c r="F61" s="15" t="s">
        <v>46</v>
      </c>
      <c r="G61" s="12" t="str">
        <f t="shared" si="10"/>
        <v>27841.524</v>
      </c>
      <c r="H61" s="10">
        <f t="shared" si="11"/>
        <v>-9467</v>
      </c>
      <c r="I61" s="60" t="s">
        <v>118</v>
      </c>
      <c r="J61" s="61" t="s">
        <v>119</v>
      </c>
      <c r="K61" s="60">
        <v>-9467</v>
      </c>
      <c r="L61" s="60" t="s">
        <v>108</v>
      </c>
      <c r="M61" s="61" t="s">
        <v>97</v>
      </c>
      <c r="N61" s="61"/>
      <c r="O61" s="62" t="s">
        <v>98</v>
      </c>
      <c r="P61" s="62" t="s">
        <v>99</v>
      </c>
    </row>
    <row r="62" spans="1:16" ht="12.75" customHeight="1" thickBot="1" x14ac:dyDescent="0.25">
      <c r="A62" s="10" t="str">
        <f t="shared" si="6"/>
        <v> MVS 434 </v>
      </c>
      <c r="B62" s="15" t="str">
        <f t="shared" si="7"/>
        <v>I</v>
      </c>
      <c r="C62" s="10">
        <f t="shared" si="8"/>
        <v>27842.531999999999</v>
      </c>
      <c r="D62" s="12" t="str">
        <f t="shared" si="9"/>
        <v>vis</v>
      </c>
      <c r="E62" s="59">
        <f>VLOOKUP(C62,Active!C$21:E$973,3,FALSE)</f>
        <v>-9466.0077921149532</v>
      </c>
      <c r="F62" s="15" t="s">
        <v>46</v>
      </c>
      <c r="G62" s="12" t="str">
        <f t="shared" si="10"/>
        <v>27842.532</v>
      </c>
      <c r="H62" s="10">
        <f t="shared" si="11"/>
        <v>-9466</v>
      </c>
      <c r="I62" s="60" t="s">
        <v>120</v>
      </c>
      <c r="J62" s="61" t="s">
        <v>121</v>
      </c>
      <c r="K62" s="60">
        <v>-9466</v>
      </c>
      <c r="L62" s="60" t="s">
        <v>122</v>
      </c>
      <c r="M62" s="61" t="s">
        <v>97</v>
      </c>
      <c r="N62" s="61"/>
      <c r="O62" s="62" t="s">
        <v>98</v>
      </c>
      <c r="P62" s="62" t="s">
        <v>99</v>
      </c>
    </row>
    <row r="63" spans="1:16" ht="12.75" customHeight="1" thickBot="1" x14ac:dyDescent="0.25">
      <c r="A63" s="10" t="str">
        <f t="shared" si="6"/>
        <v> MVS 434 </v>
      </c>
      <c r="B63" s="15" t="str">
        <f t="shared" si="7"/>
        <v>I</v>
      </c>
      <c r="C63" s="10">
        <f t="shared" si="8"/>
        <v>28246.433000000001</v>
      </c>
      <c r="D63" s="12" t="str">
        <f t="shared" si="9"/>
        <v>vis</v>
      </c>
      <c r="E63" s="59">
        <f>VLOOKUP(C63,Active!C$21:E$973,3,FALSE)</f>
        <v>-9064.9829423375541</v>
      </c>
      <c r="F63" s="15" t="s">
        <v>46</v>
      </c>
      <c r="G63" s="12" t="str">
        <f t="shared" si="10"/>
        <v>28246.433</v>
      </c>
      <c r="H63" s="10">
        <f t="shared" si="11"/>
        <v>-9065</v>
      </c>
      <c r="I63" s="60" t="s">
        <v>123</v>
      </c>
      <c r="J63" s="61" t="s">
        <v>124</v>
      </c>
      <c r="K63" s="60">
        <v>-9065</v>
      </c>
      <c r="L63" s="60" t="s">
        <v>125</v>
      </c>
      <c r="M63" s="61" t="s">
        <v>97</v>
      </c>
      <c r="N63" s="61"/>
      <c r="O63" s="62" t="s">
        <v>98</v>
      </c>
      <c r="P63" s="62" t="s">
        <v>99</v>
      </c>
    </row>
    <row r="64" spans="1:16" ht="12.75" customHeight="1" thickBot="1" x14ac:dyDescent="0.25">
      <c r="A64" s="10" t="str">
        <f t="shared" si="6"/>
        <v> MVS 434 </v>
      </c>
      <c r="B64" s="15" t="str">
        <f t="shared" si="7"/>
        <v>I</v>
      </c>
      <c r="C64" s="10">
        <f t="shared" si="8"/>
        <v>28247.39</v>
      </c>
      <c r="D64" s="12" t="str">
        <f t="shared" si="9"/>
        <v>vis</v>
      </c>
      <c r="E64" s="59">
        <f>VLOOKUP(C64,Active!C$21:E$973,3,FALSE)</f>
        <v>-9064.0327570663212</v>
      </c>
      <c r="F64" s="15" t="s">
        <v>46</v>
      </c>
      <c r="G64" s="12" t="str">
        <f t="shared" si="10"/>
        <v>28247.390</v>
      </c>
      <c r="H64" s="10">
        <f t="shared" si="11"/>
        <v>-9064</v>
      </c>
      <c r="I64" s="60" t="s">
        <v>126</v>
      </c>
      <c r="J64" s="61" t="s">
        <v>127</v>
      </c>
      <c r="K64" s="60">
        <v>-9064</v>
      </c>
      <c r="L64" s="60" t="s">
        <v>128</v>
      </c>
      <c r="M64" s="61" t="s">
        <v>97</v>
      </c>
      <c r="N64" s="61"/>
      <c r="O64" s="62" t="s">
        <v>98</v>
      </c>
      <c r="P64" s="62" t="s">
        <v>99</v>
      </c>
    </row>
    <row r="65" spans="1:16" ht="12.75" customHeight="1" thickBot="1" x14ac:dyDescent="0.25">
      <c r="A65" s="10" t="str">
        <f t="shared" si="6"/>
        <v> MVS 434 </v>
      </c>
      <c r="B65" s="15" t="str">
        <f t="shared" si="7"/>
        <v>I</v>
      </c>
      <c r="C65" s="10">
        <f t="shared" si="8"/>
        <v>28248.407999999999</v>
      </c>
      <c r="D65" s="12" t="str">
        <f t="shared" si="9"/>
        <v>vis</v>
      </c>
      <c r="E65" s="59">
        <f>VLOOKUP(C65,Active!C$21:E$973,3,FALSE)</f>
        <v>-9063.0220061717373</v>
      </c>
      <c r="F65" s="15" t="s">
        <v>46</v>
      </c>
      <c r="G65" s="12" t="str">
        <f t="shared" si="10"/>
        <v>28248.408</v>
      </c>
      <c r="H65" s="10">
        <f t="shared" si="11"/>
        <v>-9063</v>
      </c>
      <c r="I65" s="60" t="s">
        <v>129</v>
      </c>
      <c r="J65" s="61" t="s">
        <v>130</v>
      </c>
      <c r="K65" s="60">
        <v>-9063</v>
      </c>
      <c r="L65" s="60" t="s">
        <v>131</v>
      </c>
      <c r="M65" s="61" t="s">
        <v>97</v>
      </c>
      <c r="N65" s="61"/>
      <c r="O65" s="62" t="s">
        <v>98</v>
      </c>
      <c r="P65" s="62" t="s">
        <v>99</v>
      </c>
    </row>
    <row r="66" spans="1:16" ht="12.75" customHeight="1" thickBot="1" x14ac:dyDescent="0.25">
      <c r="A66" s="10" t="str">
        <f t="shared" si="6"/>
        <v> MVS 434 </v>
      </c>
      <c r="B66" s="15" t="str">
        <f t="shared" si="7"/>
        <v>I</v>
      </c>
      <c r="C66" s="10">
        <f t="shared" si="8"/>
        <v>28249.435000000001</v>
      </c>
      <c r="D66" s="12" t="str">
        <f t="shared" si="9"/>
        <v>vis</v>
      </c>
      <c r="E66" s="59">
        <f>VLOOKUP(C66,Active!C$21:E$973,3,FALSE)</f>
        <v>-9062.0023193655106</v>
      </c>
      <c r="F66" s="15" t="s">
        <v>46</v>
      </c>
      <c r="G66" s="12" t="str">
        <f t="shared" si="10"/>
        <v>28249.435</v>
      </c>
      <c r="H66" s="10">
        <f t="shared" si="11"/>
        <v>-9062</v>
      </c>
      <c r="I66" s="60" t="s">
        <v>132</v>
      </c>
      <c r="J66" s="61" t="s">
        <v>133</v>
      </c>
      <c r="K66" s="60">
        <v>-9062</v>
      </c>
      <c r="L66" s="60" t="s">
        <v>134</v>
      </c>
      <c r="M66" s="61" t="s">
        <v>97</v>
      </c>
      <c r="N66" s="61"/>
      <c r="O66" s="62" t="s">
        <v>98</v>
      </c>
      <c r="P66" s="62" t="s">
        <v>99</v>
      </c>
    </row>
    <row r="67" spans="1:16" ht="12.75" customHeight="1" thickBot="1" x14ac:dyDescent="0.25">
      <c r="A67" s="10" t="str">
        <f t="shared" si="6"/>
        <v> MVS 434 </v>
      </c>
      <c r="B67" s="15" t="str">
        <f t="shared" si="7"/>
        <v>I</v>
      </c>
      <c r="C67" s="10">
        <f t="shared" si="8"/>
        <v>28250.397000000001</v>
      </c>
      <c r="D67" s="12" t="str">
        <f t="shared" si="9"/>
        <v>vis</v>
      </c>
      <c r="E67" s="59">
        <f>VLOOKUP(C67,Active!C$21:E$973,3,FALSE)</f>
        <v>-9061.0471696989189</v>
      </c>
      <c r="F67" s="15" t="s">
        <v>46</v>
      </c>
      <c r="G67" s="12" t="str">
        <f t="shared" si="10"/>
        <v>28250.397</v>
      </c>
      <c r="H67" s="10">
        <f t="shared" si="11"/>
        <v>-9061</v>
      </c>
      <c r="I67" s="60" t="s">
        <v>135</v>
      </c>
      <c r="J67" s="61" t="s">
        <v>136</v>
      </c>
      <c r="K67" s="60">
        <v>-9061</v>
      </c>
      <c r="L67" s="60" t="s">
        <v>137</v>
      </c>
      <c r="M67" s="61" t="s">
        <v>97</v>
      </c>
      <c r="N67" s="61"/>
      <c r="O67" s="62" t="s">
        <v>98</v>
      </c>
      <c r="P67" s="62" t="s">
        <v>99</v>
      </c>
    </row>
    <row r="68" spans="1:16" ht="12.75" customHeight="1" thickBot="1" x14ac:dyDescent="0.25">
      <c r="A68" s="10" t="str">
        <f t="shared" si="6"/>
        <v> MVS 434 </v>
      </c>
      <c r="B68" s="15" t="str">
        <f t="shared" si="7"/>
        <v>I</v>
      </c>
      <c r="C68" s="10">
        <f t="shared" si="8"/>
        <v>28953.455999999998</v>
      </c>
      <c r="D68" s="12" t="str">
        <f t="shared" si="9"/>
        <v>vis</v>
      </c>
      <c r="E68" s="59">
        <f>VLOOKUP(C68,Active!C$21:E$973,3,FALSE)</f>
        <v>-8362.9946027093702</v>
      </c>
      <c r="F68" s="15" t="s">
        <v>46</v>
      </c>
      <c r="G68" s="12" t="str">
        <f t="shared" si="10"/>
        <v>28953.456</v>
      </c>
      <c r="H68" s="10">
        <f t="shared" si="11"/>
        <v>-8363</v>
      </c>
      <c r="I68" s="60" t="s">
        <v>138</v>
      </c>
      <c r="J68" s="61" t="s">
        <v>139</v>
      </c>
      <c r="K68" s="60">
        <v>-8363</v>
      </c>
      <c r="L68" s="60" t="s">
        <v>140</v>
      </c>
      <c r="M68" s="61" t="s">
        <v>97</v>
      </c>
      <c r="N68" s="61"/>
      <c r="O68" s="62" t="s">
        <v>98</v>
      </c>
      <c r="P68" s="62" t="s">
        <v>99</v>
      </c>
    </row>
    <row r="69" spans="1:16" ht="12.75" customHeight="1" thickBot="1" x14ac:dyDescent="0.25">
      <c r="A69" s="10" t="str">
        <f t="shared" si="6"/>
        <v> MVS 434 </v>
      </c>
      <c r="B69" s="15" t="str">
        <f t="shared" si="7"/>
        <v>I</v>
      </c>
      <c r="C69" s="10">
        <f t="shared" si="8"/>
        <v>29365.39</v>
      </c>
      <c r="D69" s="12" t="str">
        <f t="shared" si="9"/>
        <v>vis</v>
      </c>
      <c r="E69" s="59">
        <f>VLOOKUP(C69,Active!C$21:E$973,3,FALSE)</f>
        <v>-7953.9939553522154</v>
      </c>
      <c r="F69" s="15" t="s">
        <v>46</v>
      </c>
      <c r="G69" s="12" t="str">
        <f t="shared" si="10"/>
        <v>29365.390</v>
      </c>
      <c r="H69" s="10">
        <f t="shared" si="11"/>
        <v>-7954</v>
      </c>
      <c r="I69" s="60" t="s">
        <v>141</v>
      </c>
      <c r="J69" s="61" t="s">
        <v>142</v>
      </c>
      <c r="K69" s="60">
        <v>-7954</v>
      </c>
      <c r="L69" s="60" t="s">
        <v>143</v>
      </c>
      <c r="M69" s="61" t="s">
        <v>97</v>
      </c>
      <c r="N69" s="61"/>
      <c r="O69" s="62" t="s">
        <v>98</v>
      </c>
      <c r="P69" s="62" t="s">
        <v>99</v>
      </c>
    </row>
    <row r="70" spans="1:16" ht="12.75" customHeight="1" thickBot="1" x14ac:dyDescent="0.25">
      <c r="A70" s="10" t="str">
        <f t="shared" si="6"/>
        <v> MVS 434 </v>
      </c>
      <c r="B70" s="15" t="str">
        <f t="shared" si="7"/>
        <v>I</v>
      </c>
      <c r="C70" s="10">
        <f t="shared" si="8"/>
        <v>29369.418000000001</v>
      </c>
      <c r="D70" s="12" t="str">
        <f t="shared" si="9"/>
        <v>vis</v>
      </c>
      <c r="E70" s="59">
        <f>VLOOKUP(C70,Active!C$21:E$973,3,FALSE)</f>
        <v>-7949.994638453014</v>
      </c>
      <c r="F70" s="15" t="s">
        <v>46</v>
      </c>
      <c r="G70" s="12" t="str">
        <f t="shared" si="10"/>
        <v>29369.418</v>
      </c>
      <c r="H70" s="10">
        <f t="shared" si="11"/>
        <v>-7950</v>
      </c>
      <c r="I70" s="60" t="s">
        <v>144</v>
      </c>
      <c r="J70" s="61" t="s">
        <v>145</v>
      </c>
      <c r="K70" s="60">
        <v>-7950</v>
      </c>
      <c r="L70" s="60" t="s">
        <v>140</v>
      </c>
      <c r="M70" s="61" t="s">
        <v>97</v>
      </c>
      <c r="N70" s="61"/>
      <c r="O70" s="62" t="s">
        <v>98</v>
      </c>
      <c r="P70" s="62" t="s">
        <v>99</v>
      </c>
    </row>
    <row r="71" spans="1:16" ht="12.75" customHeight="1" thickBot="1" x14ac:dyDescent="0.25">
      <c r="A71" s="10" t="str">
        <f t="shared" si="6"/>
        <v> MVS 434 </v>
      </c>
      <c r="B71" s="15" t="str">
        <f t="shared" si="7"/>
        <v>I</v>
      </c>
      <c r="C71" s="10">
        <f t="shared" si="8"/>
        <v>29670.528999999999</v>
      </c>
      <c r="D71" s="12" t="str">
        <f t="shared" si="9"/>
        <v>vis</v>
      </c>
      <c r="E71" s="59">
        <f>VLOOKUP(C71,Active!C$21:E$973,3,FALSE)</f>
        <v>-7651.0278284146125</v>
      </c>
      <c r="F71" s="15" t="s">
        <v>46</v>
      </c>
      <c r="G71" s="12" t="str">
        <f t="shared" si="10"/>
        <v>29670.529</v>
      </c>
      <c r="H71" s="10">
        <f t="shared" si="11"/>
        <v>-7651</v>
      </c>
      <c r="I71" s="60" t="s">
        <v>146</v>
      </c>
      <c r="J71" s="61" t="s">
        <v>147</v>
      </c>
      <c r="K71" s="60">
        <v>-7651</v>
      </c>
      <c r="L71" s="60" t="s">
        <v>148</v>
      </c>
      <c r="M71" s="61" t="s">
        <v>97</v>
      </c>
      <c r="N71" s="61"/>
      <c r="O71" s="62" t="s">
        <v>98</v>
      </c>
      <c r="P71" s="62" t="s">
        <v>99</v>
      </c>
    </row>
    <row r="72" spans="1:16" ht="12.75" customHeight="1" thickBot="1" x14ac:dyDescent="0.25">
      <c r="A72" s="10" t="str">
        <f t="shared" si="6"/>
        <v> MVS 434 </v>
      </c>
      <c r="B72" s="15" t="str">
        <f t="shared" si="7"/>
        <v>I</v>
      </c>
      <c r="C72" s="10">
        <f t="shared" si="8"/>
        <v>30071.401999999998</v>
      </c>
      <c r="D72" s="12" t="str">
        <f t="shared" si="9"/>
        <v>vis</v>
      </c>
      <c r="E72" s="59">
        <f>VLOOKUP(C72,Active!C$21:E$973,3,FALSE)</f>
        <v>-7253.0094164651146</v>
      </c>
      <c r="F72" s="15" t="s">
        <v>46</v>
      </c>
      <c r="G72" s="12" t="str">
        <f t="shared" si="10"/>
        <v>30071.402</v>
      </c>
      <c r="H72" s="10">
        <f t="shared" si="11"/>
        <v>-7253</v>
      </c>
      <c r="I72" s="60" t="s">
        <v>149</v>
      </c>
      <c r="J72" s="61" t="s">
        <v>150</v>
      </c>
      <c r="K72" s="60">
        <v>-7253</v>
      </c>
      <c r="L72" s="60" t="s">
        <v>108</v>
      </c>
      <c r="M72" s="61" t="s">
        <v>97</v>
      </c>
      <c r="N72" s="61"/>
      <c r="O72" s="62" t="s">
        <v>98</v>
      </c>
      <c r="P72" s="62" t="s">
        <v>99</v>
      </c>
    </row>
    <row r="73" spans="1:16" ht="12.75" customHeight="1" thickBot="1" x14ac:dyDescent="0.25">
      <c r="A73" s="10" t="str">
        <f t="shared" si="6"/>
        <v> MVS 434 </v>
      </c>
      <c r="B73" s="15" t="str">
        <f t="shared" si="7"/>
        <v>I</v>
      </c>
      <c r="C73" s="10">
        <f t="shared" si="8"/>
        <v>30072.425999999999</v>
      </c>
      <c r="D73" s="12" t="str">
        <f t="shared" si="9"/>
        <v>vis</v>
      </c>
      <c r="E73" s="59">
        <f>VLOOKUP(C73,Active!C$21:E$973,3,FALSE)</f>
        <v>-7251.9927082961012</v>
      </c>
      <c r="F73" s="15" t="s">
        <v>46</v>
      </c>
      <c r="G73" s="12" t="str">
        <f t="shared" si="10"/>
        <v>30072.426</v>
      </c>
      <c r="H73" s="10">
        <f t="shared" si="11"/>
        <v>-7252</v>
      </c>
      <c r="I73" s="60" t="s">
        <v>151</v>
      </c>
      <c r="J73" s="61" t="s">
        <v>152</v>
      </c>
      <c r="K73" s="60">
        <v>-7252</v>
      </c>
      <c r="L73" s="60" t="s">
        <v>153</v>
      </c>
      <c r="M73" s="61" t="s">
        <v>97</v>
      </c>
      <c r="N73" s="61"/>
      <c r="O73" s="62" t="s">
        <v>98</v>
      </c>
      <c r="P73" s="62" t="s">
        <v>99</v>
      </c>
    </row>
    <row r="74" spans="1:16" ht="12.75" customHeight="1" thickBot="1" x14ac:dyDescent="0.25">
      <c r="A74" s="10" t="str">
        <f t="shared" si="6"/>
        <v> MVS 434 </v>
      </c>
      <c r="B74" s="15" t="str">
        <f t="shared" si="7"/>
        <v>I</v>
      </c>
      <c r="C74" s="10">
        <f t="shared" si="8"/>
        <v>30077.446</v>
      </c>
      <c r="D74" s="12" t="str">
        <f t="shared" si="9"/>
        <v>vis</v>
      </c>
      <c r="E74" s="59">
        <f>VLOOKUP(C74,Active!C$21:E$973,3,FALSE)</f>
        <v>-7247.0084553581719</v>
      </c>
      <c r="F74" s="15" t="s">
        <v>46</v>
      </c>
      <c r="G74" s="12" t="str">
        <f t="shared" si="10"/>
        <v>30077.446</v>
      </c>
      <c r="H74" s="10">
        <f t="shared" si="11"/>
        <v>-7247</v>
      </c>
      <c r="I74" s="60" t="s">
        <v>154</v>
      </c>
      <c r="J74" s="61" t="s">
        <v>155</v>
      </c>
      <c r="K74" s="60">
        <v>-7247</v>
      </c>
      <c r="L74" s="60" t="s">
        <v>108</v>
      </c>
      <c r="M74" s="61" t="s">
        <v>97</v>
      </c>
      <c r="N74" s="61"/>
      <c r="O74" s="62" t="s">
        <v>98</v>
      </c>
      <c r="P74" s="62" t="s">
        <v>99</v>
      </c>
    </row>
    <row r="75" spans="1:16" ht="12.75" customHeight="1" thickBot="1" x14ac:dyDescent="0.25">
      <c r="A75" s="10" t="str">
        <f t="shared" ref="A75:A106" si="12">P75</f>
        <v> MVS 434 </v>
      </c>
      <c r="B75" s="15" t="str">
        <f t="shared" ref="B75:B106" si="13">IF(H75=INT(H75),"I","II")</f>
        <v>I</v>
      </c>
      <c r="C75" s="10">
        <f t="shared" ref="C75:C106" si="14">1*G75</f>
        <v>30375.577000000001</v>
      </c>
      <c r="D75" s="12" t="str">
        <f t="shared" ref="D75:D106" si="15">VLOOKUP(F75,I$1:J$5,2,FALSE)</f>
        <v>vis</v>
      </c>
      <c r="E75" s="59">
        <f>VLOOKUP(C75,Active!C$21:E$973,3,FALSE)</f>
        <v>-6951.0004249522417</v>
      </c>
      <c r="F75" s="15" t="s">
        <v>46</v>
      </c>
      <c r="G75" s="12" t="str">
        <f t="shared" ref="G75:G106" si="16">MID(I75,3,LEN(I75)-3)</f>
        <v>30375.577</v>
      </c>
      <c r="H75" s="10">
        <f t="shared" ref="H75:H106" si="17">1*K75</f>
        <v>-6951</v>
      </c>
      <c r="I75" s="60" t="s">
        <v>156</v>
      </c>
      <c r="J75" s="61" t="s">
        <v>157</v>
      </c>
      <c r="K75" s="60">
        <v>-6951</v>
      </c>
      <c r="L75" s="60" t="s">
        <v>158</v>
      </c>
      <c r="M75" s="61" t="s">
        <v>97</v>
      </c>
      <c r="N75" s="61"/>
      <c r="O75" s="62" t="s">
        <v>98</v>
      </c>
      <c r="P75" s="62" t="s">
        <v>99</v>
      </c>
    </row>
    <row r="76" spans="1:16" ht="12.75" customHeight="1" thickBot="1" x14ac:dyDescent="0.25">
      <c r="A76" s="10" t="str">
        <f t="shared" si="12"/>
        <v> MVS 434 </v>
      </c>
      <c r="B76" s="15" t="str">
        <f t="shared" si="13"/>
        <v>I</v>
      </c>
      <c r="C76" s="10">
        <f t="shared" si="14"/>
        <v>30376.598999999998</v>
      </c>
      <c r="D76" s="12" t="str">
        <f t="shared" si="15"/>
        <v>vis</v>
      </c>
      <c r="E76" s="59">
        <f>VLOOKUP(C76,Active!C$21:E$973,3,FALSE)</f>
        <v>-6949.9857025413758</v>
      </c>
      <c r="F76" s="15" t="s">
        <v>46</v>
      </c>
      <c r="G76" s="12" t="str">
        <f t="shared" si="16"/>
        <v>30376.599</v>
      </c>
      <c r="H76" s="10">
        <f t="shared" si="17"/>
        <v>-6950</v>
      </c>
      <c r="I76" s="60" t="s">
        <v>159</v>
      </c>
      <c r="J76" s="61" t="s">
        <v>160</v>
      </c>
      <c r="K76" s="60">
        <v>-6950</v>
      </c>
      <c r="L76" s="60" t="s">
        <v>161</v>
      </c>
      <c r="M76" s="61" t="s">
        <v>97</v>
      </c>
      <c r="N76" s="61"/>
      <c r="O76" s="62" t="s">
        <v>98</v>
      </c>
      <c r="P76" s="62" t="s">
        <v>99</v>
      </c>
    </row>
    <row r="77" spans="1:16" ht="12.75" customHeight="1" thickBot="1" x14ac:dyDescent="0.25">
      <c r="A77" s="10" t="str">
        <f t="shared" si="12"/>
        <v> MVS 434 </v>
      </c>
      <c r="B77" s="15" t="str">
        <f t="shared" si="13"/>
        <v>I</v>
      </c>
      <c r="C77" s="10">
        <f t="shared" si="14"/>
        <v>30377.59</v>
      </c>
      <c r="D77" s="12" t="str">
        <f t="shared" si="15"/>
        <v>vis</v>
      </c>
      <c r="E77" s="59">
        <f>VLOOKUP(C77,Active!C$21:E$973,3,FALSE)</f>
        <v>-6949.0017593817147</v>
      </c>
      <c r="F77" s="15" t="s">
        <v>46</v>
      </c>
      <c r="G77" s="12" t="str">
        <f t="shared" si="16"/>
        <v>30377.590</v>
      </c>
      <c r="H77" s="10">
        <f t="shared" si="17"/>
        <v>-6949</v>
      </c>
      <c r="I77" s="60" t="s">
        <v>162</v>
      </c>
      <c r="J77" s="61" t="s">
        <v>163</v>
      </c>
      <c r="K77" s="60">
        <v>-6949</v>
      </c>
      <c r="L77" s="60" t="s">
        <v>134</v>
      </c>
      <c r="M77" s="61" t="s">
        <v>97</v>
      </c>
      <c r="N77" s="61"/>
      <c r="O77" s="62" t="s">
        <v>98</v>
      </c>
      <c r="P77" s="62" t="s">
        <v>99</v>
      </c>
    </row>
    <row r="78" spans="1:16" ht="12.75" customHeight="1" thickBot="1" x14ac:dyDescent="0.25">
      <c r="A78" s="10" t="str">
        <f t="shared" si="12"/>
        <v> MVS 434 </v>
      </c>
      <c r="B78" s="15" t="str">
        <f t="shared" si="13"/>
        <v>I</v>
      </c>
      <c r="C78" s="10">
        <f t="shared" si="14"/>
        <v>30382.65</v>
      </c>
      <c r="D78" s="12" t="str">
        <f t="shared" si="15"/>
        <v>vis</v>
      </c>
      <c r="E78" s="59">
        <f>VLOOKUP(C78,Active!C$21:E$973,3,FALSE)</f>
        <v>-6943.9777912809323</v>
      </c>
      <c r="F78" s="15" t="s">
        <v>46</v>
      </c>
      <c r="G78" s="12" t="str">
        <f t="shared" si="16"/>
        <v>30382.650</v>
      </c>
      <c r="H78" s="10">
        <f t="shared" si="17"/>
        <v>-6944</v>
      </c>
      <c r="I78" s="60" t="s">
        <v>164</v>
      </c>
      <c r="J78" s="61" t="s">
        <v>165</v>
      </c>
      <c r="K78" s="60">
        <v>-6944</v>
      </c>
      <c r="L78" s="60" t="s">
        <v>166</v>
      </c>
      <c r="M78" s="61" t="s">
        <v>97</v>
      </c>
      <c r="N78" s="61"/>
      <c r="O78" s="62" t="s">
        <v>98</v>
      </c>
      <c r="P78" s="62" t="s">
        <v>99</v>
      </c>
    </row>
    <row r="79" spans="1:16" ht="12.75" customHeight="1" thickBot="1" x14ac:dyDescent="0.25">
      <c r="A79" s="10" t="str">
        <f t="shared" si="12"/>
        <v> MVS 434 </v>
      </c>
      <c r="B79" s="15" t="str">
        <f t="shared" si="13"/>
        <v>I</v>
      </c>
      <c r="C79" s="10">
        <f t="shared" si="14"/>
        <v>30486.384999999998</v>
      </c>
      <c r="D79" s="12" t="str">
        <f t="shared" si="15"/>
        <v>vis</v>
      </c>
      <c r="E79" s="59">
        <f>VLOOKUP(C79,Active!C$21:E$973,3,FALSE)</f>
        <v>-6840.9814808195642</v>
      </c>
      <c r="F79" s="15" t="s">
        <v>46</v>
      </c>
      <c r="G79" s="12" t="str">
        <f t="shared" si="16"/>
        <v>30486.385</v>
      </c>
      <c r="H79" s="10">
        <f t="shared" si="17"/>
        <v>-6841</v>
      </c>
      <c r="I79" s="60" t="s">
        <v>167</v>
      </c>
      <c r="J79" s="61" t="s">
        <v>168</v>
      </c>
      <c r="K79" s="60">
        <v>-6841</v>
      </c>
      <c r="L79" s="60" t="s">
        <v>169</v>
      </c>
      <c r="M79" s="61" t="s">
        <v>97</v>
      </c>
      <c r="N79" s="61"/>
      <c r="O79" s="62" t="s">
        <v>98</v>
      </c>
      <c r="P79" s="62" t="s">
        <v>99</v>
      </c>
    </row>
    <row r="80" spans="1:16" ht="12.75" customHeight="1" thickBot="1" x14ac:dyDescent="0.25">
      <c r="A80" s="10" t="str">
        <f t="shared" si="12"/>
        <v> MVS 434 </v>
      </c>
      <c r="B80" s="15" t="str">
        <f t="shared" si="13"/>
        <v>I</v>
      </c>
      <c r="C80" s="10">
        <f t="shared" si="14"/>
        <v>30784.438999999998</v>
      </c>
      <c r="D80" s="12" t="str">
        <f t="shared" si="15"/>
        <v>vis</v>
      </c>
      <c r="E80" s="59">
        <f>VLOOKUP(C80,Active!C$21:E$973,3,FALSE)</f>
        <v>-6545.049902102126</v>
      </c>
      <c r="F80" s="15" t="s">
        <v>46</v>
      </c>
      <c r="G80" s="12" t="str">
        <f t="shared" si="16"/>
        <v>30784.439</v>
      </c>
      <c r="H80" s="10">
        <f t="shared" si="17"/>
        <v>-6545</v>
      </c>
      <c r="I80" s="60" t="s">
        <v>170</v>
      </c>
      <c r="J80" s="61" t="s">
        <v>171</v>
      </c>
      <c r="K80" s="60">
        <v>-6545</v>
      </c>
      <c r="L80" s="60" t="s">
        <v>172</v>
      </c>
      <c r="M80" s="61" t="s">
        <v>97</v>
      </c>
      <c r="N80" s="61"/>
      <c r="O80" s="62" t="s">
        <v>98</v>
      </c>
      <c r="P80" s="62" t="s">
        <v>99</v>
      </c>
    </row>
    <row r="81" spans="1:16" ht="12.75" customHeight="1" thickBot="1" x14ac:dyDescent="0.25">
      <c r="A81" s="10" t="str">
        <f t="shared" si="12"/>
        <v> MVS 434 </v>
      </c>
      <c r="B81" s="15" t="str">
        <f t="shared" si="13"/>
        <v>I</v>
      </c>
      <c r="C81" s="10">
        <f t="shared" si="14"/>
        <v>30787.494999999999</v>
      </c>
      <c r="D81" s="12" t="str">
        <f t="shared" si="15"/>
        <v>vis</v>
      </c>
      <c r="E81" s="59">
        <f>VLOOKUP(C81,Active!C$21:E$973,3,FALSE)</f>
        <v>-6542.0156636602305</v>
      </c>
      <c r="F81" s="15" t="s">
        <v>46</v>
      </c>
      <c r="G81" s="12" t="str">
        <f t="shared" si="16"/>
        <v>30787.495</v>
      </c>
      <c r="H81" s="10">
        <f t="shared" si="17"/>
        <v>-6542</v>
      </c>
      <c r="I81" s="60" t="s">
        <v>173</v>
      </c>
      <c r="J81" s="61" t="s">
        <v>174</v>
      </c>
      <c r="K81" s="60">
        <v>-6542</v>
      </c>
      <c r="L81" s="60" t="s">
        <v>175</v>
      </c>
      <c r="M81" s="61" t="s">
        <v>97</v>
      </c>
      <c r="N81" s="61"/>
      <c r="O81" s="62" t="s">
        <v>98</v>
      </c>
      <c r="P81" s="62" t="s">
        <v>99</v>
      </c>
    </row>
    <row r="82" spans="1:16" ht="12.75" customHeight="1" thickBot="1" x14ac:dyDescent="0.25">
      <c r="A82" s="10" t="str">
        <f t="shared" si="12"/>
        <v> MVS 434 </v>
      </c>
      <c r="B82" s="15" t="str">
        <f t="shared" si="13"/>
        <v>I</v>
      </c>
      <c r="C82" s="10">
        <f t="shared" si="14"/>
        <v>30791.518</v>
      </c>
      <c r="D82" s="12" t="str">
        <f t="shared" si="15"/>
        <v>vis</v>
      </c>
      <c r="E82" s="59">
        <f>VLOOKUP(C82,Active!C$21:E$973,3,FALSE)</f>
        <v>-6538.0213111563871</v>
      </c>
      <c r="F82" s="15" t="s">
        <v>46</v>
      </c>
      <c r="G82" s="12" t="str">
        <f t="shared" si="16"/>
        <v>30791.518</v>
      </c>
      <c r="H82" s="10">
        <f t="shared" si="17"/>
        <v>-6538</v>
      </c>
      <c r="I82" s="60" t="s">
        <v>176</v>
      </c>
      <c r="J82" s="61" t="s">
        <v>177</v>
      </c>
      <c r="K82" s="60">
        <v>-6538</v>
      </c>
      <c r="L82" s="60" t="s">
        <v>178</v>
      </c>
      <c r="M82" s="61" t="s">
        <v>97</v>
      </c>
      <c r="N82" s="61"/>
      <c r="O82" s="62" t="s">
        <v>98</v>
      </c>
      <c r="P82" s="62" t="s">
        <v>99</v>
      </c>
    </row>
    <row r="83" spans="1:16" ht="12.75" customHeight="1" thickBot="1" x14ac:dyDescent="0.25">
      <c r="A83" s="10" t="str">
        <f t="shared" si="12"/>
        <v> IODE 4.2.170 </v>
      </c>
      <c r="B83" s="15" t="str">
        <f t="shared" si="13"/>
        <v>I</v>
      </c>
      <c r="C83" s="10">
        <f t="shared" si="14"/>
        <v>31607.344000000001</v>
      </c>
      <c r="D83" s="12" t="str">
        <f t="shared" si="15"/>
        <v>vis</v>
      </c>
      <c r="E83" s="59">
        <f>VLOOKUP(C83,Active!C$21:E$973,3,FALSE)</f>
        <v>-5728.0047499334769</v>
      </c>
      <c r="F83" s="15" t="s">
        <v>46</v>
      </c>
      <c r="G83" s="12" t="str">
        <f t="shared" si="16"/>
        <v>31607.344</v>
      </c>
      <c r="H83" s="10">
        <f t="shared" si="17"/>
        <v>-5728</v>
      </c>
      <c r="I83" s="60" t="s">
        <v>179</v>
      </c>
      <c r="J83" s="61" t="s">
        <v>180</v>
      </c>
      <c r="K83" s="60">
        <v>-5728</v>
      </c>
      <c r="L83" s="60" t="s">
        <v>181</v>
      </c>
      <c r="M83" s="61" t="s">
        <v>115</v>
      </c>
      <c r="N83" s="61"/>
      <c r="O83" s="62" t="s">
        <v>182</v>
      </c>
      <c r="P83" s="62" t="s">
        <v>183</v>
      </c>
    </row>
    <row r="84" spans="1:16" ht="12.75" customHeight="1" thickBot="1" x14ac:dyDescent="0.25">
      <c r="A84" s="10" t="str">
        <f t="shared" si="12"/>
        <v> MVS 434 </v>
      </c>
      <c r="B84" s="15" t="str">
        <f t="shared" si="13"/>
        <v>I</v>
      </c>
      <c r="C84" s="10">
        <f t="shared" si="14"/>
        <v>32202.558000000001</v>
      </c>
      <c r="D84" s="12" t="str">
        <f t="shared" si="15"/>
        <v>vis</v>
      </c>
      <c r="E84" s="59">
        <f>VLOOKUP(C84,Active!C$21:E$973,3,FALSE)</f>
        <v>-5137.0292263883421</v>
      </c>
      <c r="F84" s="15" t="s">
        <v>46</v>
      </c>
      <c r="G84" s="12" t="str">
        <f t="shared" si="16"/>
        <v>32202.558</v>
      </c>
      <c r="H84" s="10">
        <f t="shared" si="17"/>
        <v>-5137</v>
      </c>
      <c r="I84" s="60" t="s">
        <v>184</v>
      </c>
      <c r="J84" s="61" t="s">
        <v>185</v>
      </c>
      <c r="K84" s="60">
        <v>-5137</v>
      </c>
      <c r="L84" s="60" t="s">
        <v>186</v>
      </c>
      <c r="M84" s="61" t="s">
        <v>97</v>
      </c>
      <c r="N84" s="61"/>
      <c r="O84" s="62" t="s">
        <v>98</v>
      </c>
      <c r="P84" s="62" t="s">
        <v>99</v>
      </c>
    </row>
    <row r="85" spans="1:16" ht="12.75" customHeight="1" thickBot="1" x14ac:dyDescent="0.25">
      <c r="A85" s="10" t="str">
        <f t="shared" si="12"/>
        <v> MVS 434 </v>
      </c>
      <c r="B85" s="15" t="str">
        <f t="shared" si="13"/>
        <v>I</v>
      </c>
      <c r="C85" s="10">
        <f t="shared" si="14"/>
        <v>32613.501</v>
      </c>
      <c r="D85" s="12" t="str">
        <f t="shared" si="15"/>
        <v>vis</v>
      </c>
      <c r="E85" s="59">
        <f>VLOOKUP(C85,Active!C$21:E$973,3,FALSE)</f>
        <v>-4729.0125221908474</v>
      </c>
      <c r="F85" s="15" t="s">
        <v>46</v>
      </c>
      <c r="G85" s="12" t="str">
        <f t="shared" si="16"/>
        <v>32613.501</v>
      </c>
      <c r="H85" s="10">
        <f t="shared" si="17"/>
        <v>-4729</v>
      </c>
      <c r="I85" s="60" t="s">
        <v>187</v>
      </c>
      <c r="J85" s="61" t="s">
        <v>188</v>
      </c>
      <c r="K85" s="60">
        <v>-4729</v>
      </c>
      <c r="L85" s="60" t="s">
        <v>189</v>
      </c>
      <c r="M85" s="61" t="s">
        <v>97</v>
      </c>
      <c r="N85" s="61"/>
      <c r="O85" s="62" t="s">
        <v>98</v>
      </c>
      <c r="P85" s="62" t="s">
        <v>99</v>
      </c>
    </row>
    <row r="86" spans="1:16" ht="12.75" customHeight="1" thickBot="1" x14ac:dyDescent="0.25">
      <c r="A86" s="10" t="str">
        <f t="shared" si="12"/>
        <v> AAC 4.114 </v>
      </c>
      <c r="B86" s="15" t="str">
        <f t="shared" si="13"/>
        <v>I</v>
      </c>
      <c r="C86" s="10">
        <f t="shared" si="14"/>
        <v>32613.517</v>
      </c>
      <c r="D86" s="12" t="str">
        <f t="shared" si="15"/>
        <v>vis</v>
      </c>
      <c r="E86" s="59">
        <f>VLOOKUP(C86,Active!C$21:E$973,3,FALSE)</f>
        <v>-4728.9966361257075</v>
      </c>
      <c r="F86" s="15" t="s">
        <v>46</v>
      </c>
      <c r="G86" s="12" t="str">
        <f t="shared" si="16"/>
        <v>32613.517</v>
      </c>
      <c r="H86" s="10">
        <f t="shared" si="17"/>
        <v>-4729</v>
      </c>
      <c r="I86" s="60" t="s">
        <v>190</v>
      </c>
      <c r="J86" s="61" t="s">
        <v>191</v>
      </c>
      <c r="K86" s="60">
        <v>-4729</v>
      </c>
      <c r="L86" s="60" t="s">
        <v>192</v>
      </c>
      <c r="M86" s="61" t="s">
        <v>115</v>
      </c>
      <c r="N86" s="61"/>
      <c r="O86" s="62" t="s">
        <v>193</v>
      </c>
      <c r="P86" s="62" t="s">
        <v>194</v>
      </c>
    </row>
    <row r="87" spans="1:16" ht="12.75" customHeight="1" thickBot="1" x14ac:dyDescent="0.25">
      <c r="A87" s="10" t="str">
        <f t="shared" si="12"/>
        <v> AA 10.103 </v>
      </c>
      <c r="B87" s="15" t="str">
        <f t="shared" si="13"/>
        <v>I</v>
      </c>
      <c r="C87" s="10">
        <f t="shared" si="14"/>
        <v>32615.528999999999</v>
      </c>
      <c r="D87" s="12" t="str">
        <f t="shared" si="15"/>
        <v>vis</v>
      </c>
      <c r="E87" s="59">
        <f>VLOOKUP(C87,Active!C$21:E$973,3,FALSE)</f>
        <v>-4726.998963434251</v>
      </c>
      <c r="F87" s="15" t="s">
        <v>46</v>
      </c>
      <c r="G87" s="12" t="str">
        <f t="shared" si="16"/>
        <v>32615.529</v>
      </c>
      <c r="H87" s="10">
        <f t="shared" si="17"/>
        <v>-4727</v>
      </c>
      <c r="I87" s="60" t="s">
        <v>195</v>
      </c>
      <c r="J87" s="61" t="s">
        <v>196</v>
      </c>
      <c r="K87" s="60">
        <v>-4727</v>
      </c>
      <c r="L87" s="60" t="s">
        <v>197</v>
      </c>
      <c r="M87" s="61" t="s">
        <v>115</v>
      </c>
      <c r="N87" s="61"/>
      <c r="O87" s="62" t="s">
        <v>193</v>
      </c>
      <c r="P87" s="62" t="s">
        <v>198</v>
      </c>
    </row>
    <row r="88" spans="1:16" ht="12.75" customHeight="1" thickBot="1" x14ac:dyDescent="0.25">
      <c r="A88" s="10" t="str">
        <f t="shared" si="12"/>
        <v> MVS 434 </v>
      </c>
      <c r="B88" s="15" t="str">
        <f t="shared" si="13"/>
        <v>I</v>
      </c>
      <c r="C88" s="10">
        <f t="shared" si="14"/>
        <v>33330.578000000001</v>
      </c>
      <c r="D88" s="12" t="str">
        <f t="shared" si="15"/>
        <v>vis</v>
      </c>
      <c r="E88" s="59">
        <f>VLOOKUP(C88,Active!C$21:E$973,3,FALSE)</f>
        <v>-4017.0417763798032</v>
      </c>
      <c r="F88" s="15" t="s">
        <v>46</v>
      </c>
      <c r="G88" s="12" t="str">
        <f t="shared" si="16"/>
        <v>33330.578</v>
      </c>
      <c r="H88" s="10">
        <f t="shared" si="17"/>
        <v>-4017</v>
      </c>
      <c r="I88" s="60" t="s">
        <v>199</v>
      </c>
      <c r="J88" s="61" t="s">
        <v>200</v>
      </c>
      <c r="K88" s="60">
        <v>-4017</v>
      </c>
      <c r="L88" s="60" t="s">
        <v>201</v>
      </c>
      <c r="M88" s="61" t="s">
        <v>97</v>
      </c>
      <c r="N88" s="61"/>
      <c r="O88" s="62" t="s">
        <v>98</v>
      </c>
      <c r="P88" s="62" t="s">
        <v>99</v>
      </c>
    </row>
    <row r="89" spans="1:16" ht="12.75" customHeight="1" thickBot="1" x14ac:dyDescent="0.25">
      <c r="A89" s="10" t="str">
        <f t="shared" si="12"/>
        <v> SAC 23.85 </v>
      </c>
      <c r="B89" s="15" t="str">
        <f t="shared" si="13"/>
        <v>I</v>
      </c>
      <c r="C89" s="10">
        <f t="shared" si="14"/>
        <v>33739.54</v>
      </c>
      <c r="D89" s="12" t="str">
        <f t="shared" si="15"/>
        <v>vis</v>
      </c>
      <c r="E89" s="59">
        <f>VLOOKUP(C89,Active!C$21:E$973,3,FALSE)</f>
        <v>-3610.9919656225547</v>
      </c>
      <c r="F89" s="15" t="s">
        <v>46</v>
      </c>
      <c r="G89" s="12" t="str">
        <f t="shared" si="16"/>
        <v>33739.54</v>
      </c>
      <c r="H89" s="10">
        <f t="shared" si="17"/>
        <v>-3611</v>
      </c>
      <c r="I89" s="60" t="s">
        <v>202</v>
      </c>
      <c r="J89" s="61" t="s">
        <v>203</v>
      </c>
      <c r="K89" s="60">
        <v>-3611</v>
      </c>
      <c r="L89" s="60" t="s">
        <v>204</v>
      </c>
      <c r="M89" s="61" t="s">
        <v>115</v>
      </c>
      <c r="N89" s="61"/>
      <c r="O89" s="62" t="s">
        <v>193</v>
      </c>
      <c r="P89" s="62" t="s">
        <v>205</v>
      </c>
    </row>
    <row r="90" spans="1:16" ht="12.75" customHeight="1" thickBot="1" x14ac:dyDescent="0.25">
      <c r="A90" s="10" t="str">
        <f t="shared" si="12"/>
        <v> AA 10.103 </v>
      </c>
      <c r="B90" s="15" t="str">
        <f t="shared" si="13"/>
        <v>I</v>
      </c>
      <c r="C90" s="10">
        <f t="shared" si="14"/>
        <v>34130.317999999999</v>
      </c>
      <c r="D90" s="12" t="str">
        <f t="shared" si="15"/>
        <v>vis</v>
      </c>
      <c r="E90" s="59">
        <f>VLOOKUP(C90,Active!C$21:E$973,3,FALSE)</f>
        <v>-3222.9966678978381</v>
      </c>
      <c r="F90" s="15" t="s">
        <v>46</v>
      </c>
      <c r="G90" s="12" t="str">
        <f t="shared" si="16"/>
        <v>34130.318</v>
      </c>
      <c r="H90" s="10">
        <f t="shared" si="17"/>
        <v>-3223</v>
      </c>
      <c r="I90" s="60" t="s">
        <v>206</v>
      </c>
      <c r="J90" s="61" t="s">
        <v>207</v>
      </c>
      <c r="K90" s="60">
        <v>-3223</v>
      </c>
      <c r="L90" s="60" t="s">
        <v>192</v>
      </c>
      <c r="M90" s="61" t="s">
        <v>115</v>
      </c>
      <c r="N90" s="61"/>
      <c r="O90" s="62" t="s">
        <v>193</v>
      </c>
      <c r="P90" s="62" t="s">
        <v>198</v>
      </c>
    </row>
    <row r="91" spans="1:16" ht="12.75" customHeight="1" thickBot="1" x14ac:dyDescent="0.25">
      <c r="A91" s="10" t="str">
        <f t="shared" si="12"/>
        <v> AAC 5.52 </v>
      </c>
      <c r="B91" s="15" t="str">
        <f t="shared" si="13"/>
        <v>I</v>
      </c>
      <c r="C91" s="10">
        <f t="shared" si="14"/>
        <v>34133.328000000001</v>
      </c>
      <c r="D91" s="12" t="str">
        <f t="shared" si="15"/>
        <v>vis</v>
      </c>
      <c r="E91" s="59">
        <f>VLOOKUP(C91,Active!C$21:E$973,3,FALSE)</f>
        <v>-3220.008101893221</v>
      </c>
      <c r="F91" s="15" t="s">
        <v>46</v>
      </c>
      <c r="G91" s="12" t="str">
        <f t="shared" si="16"/>
        <v>34133.328</v>
      </c>
      <c r="H91" s="10">
        <f t="shared" si="17"/>
        <v>-3220</v>
      </c>
      <c r="I91" s="60" t="s">
        <v>208</v>
      </c>
      <c r="J91" s="61" t="s">
        <v>209</v>
      </c>
      <c r="K91" s="60">
        <v>-3220</v>
      </c>
      <c r="L91" s="60" t="s">
        <v>122</v>
      </c>
      <c r="M91" s="61" t="s">
        <v>115</v>
      </c>
      <c r="N91" s="61"/>
      <c r="O91" s="62" t="s">
        <v>193</v>
      </c>
      <c r="P91" s="62" t="s">
        <v>210</v>
      </c>
    </row>
    <row r="92" spans="1:16" ht="12.75" customHeight="1" thickBot="1" x14ac:dyDescent="0.25">
      <c r="A92" s="10" t="str">
        <f t="shared" si="12"/>
        <v> AA 10.103 </v>
      </c>
      <c r="B92" s="15" t="str">
        <f t="shared" si="13"/>
        <v>I</v>
      </c>
      <c r="C92" s="10">
        <f t="shared" si="14"/>
        <v>35134.481</v>
      </c>
      <c r="D92" s="12" t="str">
        <f t="shared" si="15"/>
        <v>vis</v>
      </c>
      <c r="E92" s="59">
        <f>VLOOKUP(C92,Active!C$21:E$973,3,FALSE)</f>
        <v>-2225.9842410233809</v>
      </c>
      <c r="F92" s="15" t="s">
        <v>46</v>
      </c>
      <c r="G92" s="12" t="str">
        <f t="shared" si="16"/>
        <v>35134.481</v>
      </c>
      <c r="H92" s="10">
        <f t="shared" si="17"/>
        <v>-2226</v>
      </c>
      <c r="I92" s="60" t="s">
        <v>211</v>
      </c>
      <c r="J92" s="61" t="s">
        <v>212</v>
      </c>
      <c r="K92" s="60">
        <v>-2226</v>
      </c>
      <c r="L92" s="60" t="s">
        <v>213</v>
      </c>
      <c r="M92" s="61" t="s">
        <v>115</v>
      </c>
      <c r="N92" s="61"/>
      <c r="O92" s="62" t="s">
        <v>193</v>
      </c>
      <c r="P92" s="62" t="s">
        <v>198</v>
      </c>
    </row>
    <row r="93" spans="1:16" ht="12.75" customHeight="1" thickBot="1" x14ac:dyDescent="0.25">
      <c r="A93" s="10" t="str">
        <f t="shared" si="12"/>
        <v> MVS 434 </v>
      </c>
      <c r="B93" s="15" t="str">
        <f t="shared" si="13"/>
        <v>I</v>
      </c>
      <c r="C93" s="10">
        <f t="shared" si="14"/>
        <v>35135.497000000003</v>
      </c>
      <c r="D93" s="12" t="str">
        <f t="shared" si="15"/>
        <v>vis</v>
      </c>
      <c r="E93" s="59">
        <f>VLOOKUP(C93,Active!C$21:E$973,3,FALSE)</f>
        <v>-2224.9754758869362</v>
      </c>
      <c r="F93" s="15" t="s">
        <v>46</v>
      </c>
      <c r="G93" s="12" t="str">
        <f t="shared" si="16"/>
        <v>35135.497</v>
      </c>
      <c r="H93" s="10">
        <f t="shared" si="17"/>
        <v>-2225</v>
      </c>
      <c r="I93" s="60" t="s">
        <v>214</v>
      </c>
      <c r="J93" s="61" t="s">
        <v>215</v>
      </c>
      <c r="K93" s="60">
        <v>-2225</v>
      </c>
      <c r="L93" s="60" t="s">
        <v>105</v>
      </c>
      <c r="M93" s="61" t="s">
        <v>97</v>
      </c>
      <c r="N93" s="61"/>
      <c r="O93" s="62" t="s">
        <v>98</v>
      </c>
      <c r="P93" s="62" t="s">
        <v>99</v>
      </c>
    </row>
    <row r="94" spans="1:16" ht="12.75" customHeight="1" thickBot="1" x14ac:dyDescent="0.25">
      <c r="A94" s="10" t="str">
        <f t="shared" si="12"/>
        <v> MVS 434 </v>
      </c>
      <c r="B94" s="15" t="str">
        <f t="shared" si="13"/>
        <v>I</v>
      </c>
      <c r="C94" s="10">
        <f t="shared" si="14"/>
        <v>35136.502999999997</v>
      </c>
      <c r="D94" s="12" t="str">
        <f t="shared" si="15"/>
        <v>vis</v>
      </c>
      <c r="E94" s="59">
        <f>VLOOKUP(C94,Active!C$21:E$973,3,FALSE)</f>
        <v>-2223.9766395412139</v>
      </c>
      <c r="F94" s="15" t="s">
        <v>46</v>
      </c>
      <c r="G94" s="12" t="str">
        <f t="shared" si="16"/>
        <v>35136.503</v>
      </c>
      <c r="H94" s="10">
        <f t="shared" si="17"/>
        <v>-2224</v>
      </c>
      <c r="I94" s="60" t="s">
        <v>216</v>
      </c>
      <c r="J94" s="61" t="s">
        <v>217</v>
      </c>
      <c r="K94" s="60">
        <v>-2224</v>
      </c>
      <c r="L94" s="60" t="s">
        <v>218</v>
      </c>
      <c r="M94" s="61" t="s">
        <v>97</v>
      </c>
      <c r="N94" s="61"/>
      <c r="O94" s="62" t="s">
        <v>98</v>
      </c>
      <c r="P94" s="62" t="s">
        <v>99</v>
      </c>
    </row>
    <row r="95" spans="1:16" ht="12.75" customHeight="1" thickBot="1" x14ac:dyDescent="0.25">
      <c r="A95" s="10" t="str">
        <f t="shared" si="12"/>
        <v> AA 7.188 </v>
      </c>
      <c r="B95" s="15" t="str">
        <f t="shared" si="13"/>
        <v>I</v>
      </c>
      <c r="C95" s="10">
        <f t="shared" si="14"/>
        <v>35550.434000000001</v>
      </c>
      <c r="D95" s="12" t="str">
        <f t="shared" si="15"/>
        <v>vis</v>
      </c>
      <c r="E95" s="59">
        <f>VLOOKUP(C95,Active!C$21:E$973,3,FALSE)</f>
        <v>-1812.9932126786678</v>
      </c>
      <c r="F95" s="15" t="s">
        <v>46</v>
      </c>
      <c r="G95" s="12" t="str">
        <f t="shared" si="16"/>
        <v>35550.434</v>
      </c>
      <c r="H95" s="10">
        <f t="shared" si="17"/>
        <v>-1813</v>
      </c>
      <c r="I95" s="60" t="s">
        <v>219</v>
      </c>
      <c r="J95" s="61" t="s">
        <v>220</v>
      </c>
      <c r="K95" s="60">
        <v>-1813</v>
      </c>
      <c r="L95" s="60" t="s">
        <v>153</v>
      </c>
      <c r="M95" s="61" t="s">
        <v>115</v>
      </c>
      <c r="N95" s="61"/>
      <c r="O95" s="62" t="s">
        <v>193</v>
      </c>
      <c r="P95" s="62" t="s">
        <v>221</v>
      </c>
    </row>
    <row r="96" spans="1:16" ht="12.75" customHeight="1" thickBot="1" x14ac:dyDescent="0.25">
      <c r="A96" s="10" t="str">
        <f t="shared" si="12"/>
        <v> AA 7.188 </v>
      </c>
      <c r="B96" s="15" t="str">
        <f t="shared" si="13"/>
        <v>I</v>
      </c>
      <c r="C96" s="10">
        <f t="shared" si="14"/>
        <v>35551.438000000002</v>
      </c>
      <c r="D96" s="12" t="str">
        <f t="shared" si="15"/>
        <v>vis</v>
      </c>
      <c r="E96" s="59">
        <f>VLOOKUP(C96,Active!C$21:E$973,3,FALSE)</f>
        <v>-1811.9963620910812</v>
      </c>
      <c r="F96" s="15" t="s">
        <v>46</v>
      </c>
      <c r="G96" s="12" t="str">
        <f t="shared" si="16"/>
        <v>35551.438</v>
      </c>
      <c r="H96" s="10">
        <f t="shared" si="17"/>
        <v>-1812</v>
      </c>
      <c r="I96" s="60" t="s">
        <v>222</v>
      </c>
      <c r="J96" s="61" t="s">
        <v>223</v>
      </c>
      <c r="K96" s="60">
        <v>-1812</v>
      </c>
      <c r="L96" s="60" t="s">
        <v>224</v>
      </c>
      <c r="M96" s="61" t="s">
        <v>115</v>
      </c>
      <c r="N96" s="61"/>
      <c r="O96" s="62" t="s">
        <v>193</v>
      </c>
      <c r="P96" s="62" t="s">
        <v>221</v>
      </c>
    </row>
    <row r="97" spans="1:16" ht="12.75" customHeight="1" thickBot="1" x14ac:dyDescent="0.25">
      <c r="A97" s="10" t="str">
        <f t="shared" si="12"/>
        <v> AA 7.188 </v>
      </c>
      <c r="B97" s="15" t="str">
        <f t="shared" si="13"/>
        <v>I</v>
      </c>
      <c r="C97" s="10">
        <f t="shared" si="14"/>
        <v>35552.449000000001</v>
      </c>
      <c r="D97" s="12" t="str">
        <f t="shared" si="15"/>
        <v>vis</v>
      </c>
      <c r="E97" s="59">
        <f>VLOOKUP(C97,Active!C$21:E$973,3,FALSE)</f>
        <v>-1810.9925613499977</v>
      </c>
      <c r="F97" s="15" t="s">
        <v>46</v>
      </c>
      <c r="G97" s="12" t="str">
        <f t="shared" si="16"/>
        <v>35552.449</v>
      </c>
      <c r="H97" s="10">
        <f t="shared" si="17"/>
        <v>-1811</v>
      </c>
      <c r="I97" s="60" t="s">
        <v>225</v>
      </c>
      <c r="J97" s="61" t="s">
        <v>226</v>
      </c>
      <c r="K97" s="60">
        <v>-1811</v>
      </c>
      <c r="L97" s="60" t="s">
        <v>153</v>
      </c>
      <c r="M97" s="61" t="s">
        <v>115</v>
      </c>
      <c r="N97" s="61"/>
      <c r="O97" s="62" t="s">
        <v>193</v>
      </c>
      <c r="P97" s="62" t="s">
        <v>221</v>
      </c>
    </row>
    <row r="98" spans="1:16" ht="12.75" customHeight="1" thickBot="1" x14ac:dyDescent="0.25">
      <c r="A98" s="10" t="str">
        <f t="shared" si="12"/>
        <v> AA 10.69 </v>
      </c>
      <c r="B98" s="15" t="str">
        <f t="shared" si="13"/>
        <v>I</v>
      </c>
      <c r="C98" s="10">
        <f t="shared" si="14"/>
        <v>36256.474999999999</v>
      </c>
      <c r="D98" s="12" t="str">
        <f t="shared" si="15"/>
        <v>vis</v>
      </c>
      <c r="E98" s="59">
        <f>VLOOKUP(C98,Active!C$21:E$973,3,FALSE)</f>
        <v>-1111.979880298501</v>
      </c>
      <c r="F98" s="15" t="s">
        <v>46</v>
      </c>
      <c r="G98" s="12" t="str">
        <f t="shared" si="16"/>
        <v>36256.475</v>
      </c>
      <c r="H98" s="10">
        <f t="shared" si="17"/>
        <v>-1112</v>
      </c>
      <c r="I98" s="60" t="s">
        <v>227</v>
      </c>
      <c r="J98" s="61" t="s">
        <v>228</v>
      </c>
      <c r="K98" s="60">
        <v>-1112</v>
      </c>
      <c r="L98" s="60" t="s">
        <v>229</v>
      </c>
      <c r="M98" s="61" t="s">
        <v>115</v>
      </c>
      <c r="N98" s="61"/>
      <c r="O98" s="62" t="s">
        <v>193</v>
      </c>
      <c r="P98" s="62" t="s">
        <v>230</v>
      </c>
    </row>
    <row r="99" spans="1:16" ht="12.75" customHeight="1" thickBot="1" x14ac:dyDescent="0.25">
      <c r="A99" s="10" t="str">
        <f t="shared" si="12"/>
        <v> AA 10.69 </v>
      </c>
      <c r="B99" s="15" t="str">
        <f t="shared" si="13"/>
        <v>I</v>
      </c>
      <c r="C99" s="10">
        <f t="shared" si="14"/>
        <v>36673.421999999999</v>
      </c>
      <c r="D99" s="12" t="str">
        <f t="shared" si="15"/>
        <v>vis</v>
      </c>
      <c r="E99" s="59">
        <f>VLOOKUP(C99,Active!C$21:E$973,3,FALSE)</f>
        <v>-698.00193015691627</v>
      </c>
      <c r="F99" s="15" t="s">
        <v>46</v>
      </c>
      <c r="G99" s="12" t="str">
        <f t="shared" si="16"/>
        <v>36673.422</v>
      </c>
      <c r="H99" s="10">
        <f t="shared" si="17"/>
        <v>-698</v>
      </c>
      <c r="I99" s="60" t="s">
        <v>231</v>
      </c>
      <c r="J99" s="61" t="s">
        <v>232</v>
      </c>
      <c r="K99" s="60">
        <v>-698</v>
      </c>
      <c r="L99" s="60" t="s">
        <v>134</v>
      </c>
      <c r="M99" s="61" t="s">
        <v>115</v>
      </c>
      <c r="N99" s="61"/>
      <c r="O99" s="62" t="s">
        <v>193</v>
      </c>
      <c r="P99" s="62" t="s">
        <v>230</v>
      </c>
    </row>
    <row r="100" spans="1:16" ht="12.75" customHeight="1" thickBot="1" x14ac:dyDescent="0.25">
      <c r="A100" s="10" t="str">
        <f t="shared" si="12"/>
        <v> AA 10.69 </v>
      </c>
      <c r="B100" s="15" t="str">
        <f t="shared" si="13"/>
        <v>I</v>
      </c>
      <c r="C100" s="10">
        <f t="shared" si="14"/>
        <v>36674.428</v>
      </c>
      <c r="D100" s="12" t="str">
        <f t="shared" si="15"/>
        <v>vis</v>
      </c>
      <c r="E100" s="59">
        <f>VLOOKUP(C100,Active!C$21:E$973,3,FALSE)</f>
        <v>-697.00309381118666</v>
      </c>
      <c r="F100" s="15" t="s">
        <v>46</v>
      </c>
      <c r="G100" s="12" t="str">
        <f t="shared" si="16"/>
        <v>36674.428</v>
      </c>
      <c r="H100" s="10">
        <f t="shared" si="17"/>
        <v>-697</v>
      </c>
      <c r="I100" s="60" t="s">
        <v>233</v>
      </c>
      <c r="J100" s="61" t="s">
        <v>234</v>
      </c>
      <c r="K100" s="60">
        <v>-697</v>
      </c>
      <c r="L100" s="60" t="s">
        <v>93</v>
      </c>
      <c r="M100" s="61" t="s">
        <v>115</v>
      </c>
      <c r="N100" s="61"/>
      <c r="O100" s="62" t="s">
        <v>193</v>
      </c>
      <c r="P100" s="62" t="s">
        <v>230</v>
      </c>
    </row>
    <row r="101" spans="1:16" ht="12.75" customHeight="1" thickBot="1" x14ac:dyDescent="0.25">
      <c r="A101" s="10" t="str">
        <f t="shared" si="12"/>
        <v> AA 13.79 </v>
      </c>
      <c r="B101" s="15" t="str">
        <f t="shared" si="13"/>
        <v>I</v>
      </c>
      <c r="C101" s="10">
        <f t="shared" si="14"/>
        <v>36969.529000000002</v>
      </c>
      <c r="D101" s="12" t="str">
        <f t="shared" si="15"/>
        <v>vis</v>
      </c>
      <c r="E101" s="59">
        <f>VLOOKUP(C101,Active!C$21:E$973,3,FALSE)</f>
        <v>-404.00348699129648</v>
      </c>
      <c r="F101" s="15" t="s">
        <v>46</v>
      </c>
      <c r="G101" s="12" t="str">
        <f t="shared" si="16"/>
        <v>36969.529</v>
      </c>
      <c r="H101" s="10">
        <f t="shared" si="17"/>
        <v>-404</v>
      </c>
      <c r="I101" s="60" t="s">
        <v>235</v>
      </c>
      <c r="J101" s="61" t="s">
        <v>236</v>
      </c>
      <c r="K101" s="60">
        <v>-404</v>
      </c>
      <c r="L101" s="60" t="s">
        <v>237</v>
      </c>
      <c r="M101" s="61" t="s">
        <v>115</v>
      </c>
      <c r="N101" s="61"/>
      <c r="O101" s="62" t="s">
        <v>193</v>
      </c>
      <c r="P101" s="62" t="s">
        <v>238</v>
      </c>
    </row>
    <row r="102" spans="1:16" ht="12.75" customHeight="1" thickBot="1" x14ac:dyDescent="0.25">
      <c r="A102" s="10" t="str">
        <f t="shared" si="12"/>
        <v> MVS 568 </v>
      </c>
      <c r="B102" s="15" t="str">
        <f t="shared" si="13"/>
        <v>I</v>
      </c>
      <c r="C102" s="10">
        <f t="shared" si="14"/>
        <v>37375.423999999999</v>
      </c>
      <c r="D102" s="12" t="str">
        <f t="shared" si="15"/>
        <v>vis</v>
      </c>
      <c r="E102" s="59">
        <f>VLOOKUP(C102,Active!C$21:E$973,3,FALSE)</f>
        <v>-0.99883634572964941</v>
      </c>
      <c r="F102" s="15" t="s">
        <v>46</v>
      </c>
      <c r="G102" s="12" t="str">
        <f t="shared" si="16"/>
        <v>37375.424</v>
      </c>
      <c r="H102" s="10">
        <f t="shared" si="17"/>
        <v>-1</v>
      </c>
      <c r="I102" s="60" t="s">
        <v>239</v>
      </c>
      <c r="J102" s="61" t="s">
        <v>240</v>
      </c>
      <c r="K102" s="60">
        <v>-1</v>
      </c>
      <c r="L102" s="60" t="s">
        <v>197</v>
      </c>
      <c r="M102" s="61" t="s">
        <v>94</v>
      </c>
      <c r="N102" s="61"/>
      <c r="O102" s="62" t="s">
        <v>241</v>
      </c>
      <c r="P102" s="62" t="s">
        <v>242</v>
      </c>
    </row>
    <row r="103" spans="1:16" ht="12.75" customHeight="1" thickBot="1" x14ac:dyDescent="0.25">
      <c r="A103" s="10" t="str">
        <f t="shared" si="12"/>
        <v>BAVM 56 </v>
      </c>
      <c r="B103" s="15" t="str">
        <f t="shared" si="13"/>
        <v>I</v>
      </c>
      <c r="C103" s="10">
        <f t="shared" si="14"/>
        <v>47945.481200000002</v>
      </c>
      <c r="D103" s="12" t="str">
        <f t="shared" si="15"/>
        <v>vis</v>
      </c>
      <c r="E103" s="59">
        <f>VLOOKUP(C103,Active!C$21:E$973,3,FALSE)</f>
        <v>10493.789739984832</v>
      </c>
      <c r="F103" s="15" t="s">
        <v>46</v>
      </c>
      <c r="G103" s="12" t="str">
        <f t="shared" si="16"/>
        <v>47945.4812</v>
      </c>
      <c r="H103" s="10">
        <f t="shared" si="17"/>
        <v>10494</v>
      </c>
      <c r="I103" s="60" t="s">
        <v>281</v>
      </c>
      <c r="J103" s="61" t="s">
        <v>282</v>
      </c>
      <c r="K103" s="60">
        <v>10494</v>
      </c>
      <c r="L103" s="60" t="s">
        <v>283</v>
      </c>
      <c r="M103" s="61" t="s">
        <v>284</v>
      </c>
      <c r="N103" s="61" t="s">
        <v>285</v>
      </c>
      <c r="O103" s="62" t="s">
        <v>286</v>
      </c>
      <c r="P103" s="63" t="s">
        <v>287</v>
      </c>
    </row>
    <row r="104" spans="1:16" ht="12.75" customHeight="1" thickBot="1" x14ac:dyDescent="0.25">
      <c r="A104" s="10" t="str">
        <f t="shared" si="12"/>
        <v>BAVM 56 </v>
      </c>
      <c r="B104" s="15" t="str">
        <f t="shared" si="13"/>
        <v>I</v>
      </c>
      <c r="C104" s="10">
        <f t="shared" si="14"/>
        <v>47947.497499999998</v>
      </c>
      <c r="D104" s="12" t="str">
        <f t="shared" si="15"/>
        <v>vis</v>
      </c>
      <c r="E104" s="59">
        <f>VLOOKUP(C104,Active!C$21:E$973,3,FALSE)</f>
        <v>10495.79168205629</v>
      </c>
      <c r="F104" s="15" t="s">
        <v>46</v>
      </c>
      <c r="G104" s="12" t="str">
        <f t="shared" si="16"/>
        <v>47947.4975</v>
      </c>
      <c r="H104" s="10">
        <f t="shared" si="17"/>
        <v>10496</v>
      </c>
      <c r="I104" s="60" t="s">
        <v>288</v>
      </c>
      <c r="J104" s="61" t="s">
        <v>289</v>
      </c>
      <c r="K104" s="60">
        <v>10496</v>
      </c>
      <c r="L104" s="60" t="s">
        <v>290</v>
      </c>
      <c r="M104" s="61" t="s">
        <v>284</v>
      </c>
      <c r="N104" s="61" t="s">
        <v>285</v>
      </c>
      <c r="O104" s="62" t="s">
        <v>286</v>
      </c>
      <c r="P104" s="63" t="s">
        <v>287</v>
      </c>
    </row>
    <row r="105" spans="1:16" ht="12.75" customHeight="1" thickBot="1" x14ac:dyDescent="0.25">
      <c r="A105" s="10" t="str">
        <f t="shared" si="12"/>
        <v> BRNO 32 </v>
      </c>
      <c r="B105" s="15" t="str">
        <f t="shared" si="13"/>
        <v>I</v>
      </c>
      <c r="C105" s="10">
        <f t="shared" si="14"/>
        <v>50193.4476</v>
      </c>
      <c r="D105" s="12" t="str">
        <f t="shared" si="15"/>
        <v>vis</v>
      </c>
      <c r="E105" s="59">
        <f>VLOOKUP(C105,Active!C$21:E$973,3,FALSE)</f>
        <v>12725.748531531854</v>
      </c>
      <c r="F105" s="15" t="str">
        <f>LEFT(M105,1)</f>
        <v>V</v>
      </c>
      <c r="G105" s="12" t="str">
        <f t="shared" si="16"/>
        <v>50193.4476</v>
      </c>
      <c r="H105" s="10">
        <f t="shared" si="17"/>
        <v>12726</v>
      </c>
      <c r="I105" s="60" t="s">
        <v>332</v>
      </c>
      <c r="J105" s="61" t="s">
        <v>333</v>
      </c>
      <c r="K105" s="60">
        <v>12726</v>
      </c>
      <c r="L105" s="60" t="s">
        <v>334</v>
      </c>
      <c r="M105" s="61" t="s">
        <v>115</v>
      </c>
      <c r="N105" s="61"/>
      <c r="O105" s="62" t="s">
        <v>335</v>
      </c>
      <c r="P105" s="62" t="s">
        <v>336</v>
      </c>
    </row>
    <row r="106" spans="1:16" ht="12.75" customHeight="1" thickBot="1" x14ac:dyDescent="0.25">
      <c r="A106" s="10" t="str">
        <f t="shared" si="12"/>
        <v> BRNO 32 </v>
      </c>
      <c r="B106" s="15" t="str">
        <f t="shared" si="13"/>
        <v>I</v>
      </c>
      <c r="C106" s="10">
        <f t="shared" si="14"/>
        <v>50193.455300000001</v>
      </c>
      <c r="D106" s="12" t="str">
        <f t="shared" si="15"/>
        <v>vis</v>
      </c>
      <c r="E106" s="59">
        <f>VLOOKUP(C106,Active!C$21:E$973,3,FALSE)</f>
        <v>12725.756176700705</v>
      </c>
      <c r="F106" s="15" t="s">
        <v>46</v>
      </c>
      <c r="G106" s="12" t="str">
        <f t="shared" si="16"/>
        <v>50193.4553</v>
      </c>
      <c r="H106" s="10">
        <f t="shared" si="17"/>
        <v>12726</v>
      </c>
      <c r="I106" s="60" t="s">
        <v>337</v>
      </c>
      <c r="J106" s="61" t="s">
        <v>338</v>
      </c>
      <c r="K106" s="60">
        <v>12726</v>
      </c>
      <c r="L106" s="60" t="s">
        <v>339</v>
      </c>
      <c r="M106" s="61" t="s">
        <v>115</v>
      </c>
      <c r="N106" s="61"/>
      <c r="O106" s="62" t="s">
        <v>340</v>
      </c>
      <c r="P106" s="62" t="s">
        <v>336</v>
      </c>
    </row>
    <row r="107" spans="1:16" ht="12.75" customHeight="1" thickBot="1" x14ac:dyDescent="0.25">
      <c r="A107" s="10" t="str">
        <f t="shared" ref="A107:A112" si="18">P107</f>
        <v>VSB 43 </v>
      </c>
      <c r="B107" s="15" t="str">
        <f t="shared" ref="B107:B112" si="19">IF(H107=INT(H107),"I","II")</f>
        <v>I</v>
      </c>
      <c r="C107" s="10">
        <f t="shared" ref="C107:C112" si="20">1*G107</f>
        <v>53093.0556</v>
      </c>
      <c r="D107" s="12" t="str">
        <f t="shared" ref="D107:D112" si="21">VLOOKUP(F107,I$1:J$5,2,FALSE)</f>
        <v>vis</v>
      </c>
      <c r="E107" s="59">
        <f>VLOOKUP(C107,Active!C$21:E$973,3,FALSE)</f>
        <v>15604.708629707737</v>
      </c>
      <c r="F107" s="15" t="s">
        <v>46</v>
      </c>
      <c r="G107" s="12" t="str">
        <f t="shared" ref="G107:G112" si="22">MID(I107,3,LEN(I107)-3)</f>
        <v>53093.0556</v>
      </c>
      <c r="H107" s="10">
        <f t="shared" ref="H107:H112" si="23">1*K107</f>
        <v>15605</v>
      </c>
      <c r="I107" s="60" t="s">
        <v>412</v>
      </c>
      <c r="J107" s="61" t="s">
        <v>413</v>
      </c>
      <c r="K107" s="60" t="s">
        <v>414</v>
      </c>
      <c r="L107" s="60" t="s">
        <v>415</v>
      </c>
      <c r="M107" s="61" t="s">
        <v>284</v>
      </c>
      <c r="N107" s="61" t="s">
        <v>306</v>
      </c>
      <c r="O107" s="62" t="s">
        <v>416</v>
      </c>
      <c r="P107" s="63" t="s">
        <v>417</v>
      </c>
    </row>
    <row r="108" spans="1:16" ht="12.75" customHeight="1" thickBot="1" x14ac:dyDescent="0.25">
      <c r="A108" s="10" t="str">
        <f t="shared" si="18"/>
        <v>VSB 46 </v>
      </c>
      <c r="B108" s="15" t="str">
        <f t="shared" si="19"/>
        <v>I</v>
      </c>
      <c r="C108" s="10">
        <f t="shared" si="20"/>
        <v>54113.307699999998</v>
      </c>
      <c r="D108" s="12" t="str">
        <f t="shared" si="21"/>
        <v>vis</v>
      </c>
      <c r="E108" s="59">
        <f>VLOOKUP(C108,Active!C$21:E$973,3,FALSE)</f>
        <v>16617.695587248254</v>
      </c>
      <c r="F108" s="15" t="s">
        <v>46</v>
      </c>
      <c r="G108" s="12" t="str">
        <f t="shared" si="22"/>
        <v>54113.3077</v>
      </c>
      <c r="H108" s="10">
        <f t="shared" si="23"/>
        <v>16618</v>
      </c>
      <c r="I108" s="60" t="s">
        <v>428</v>
      </c>
      <c r="J108" s="61" t="s">
        <v>429</v>
      </c>
      <c r="K108" s="60" t="s">
        <v>430</v>
      </c>
      <c r="L108" s="60" t="s">
        <v>431</v>
      </c>
      <c r="M108" s="61" t="s">
        <v>375</v>
      </c>
      <c r="N108" s="61" t="s">
        <v>432</v>
      </c>
      <c r="O108" s="62" t="s">
        <v>433</v>
      </c>
      <c r="P108" s="63" t="s">
        <v>434</v>
      </c>
    </row>
    <row r="109" spans="1:16" ht="12.75" customHeight="1" thickBot="1" x14ac:dyDescent="0.25">
      <c r="A109" s="10" t="str">
        <f t="shared" si="18"/>
        <v>VSB 48 </v>
      </c>
      <c r="B109" s="15" t="str">
        <f t="shared" si="19"/>
        <v>II</v>
      </c>
      <c r="C109" s="10">
        <f t="shared" si="20"/>
        <v>54563.034500000002</v>
      </c>
      <c r="D109" s="12" t="str">
        <f t="shared" si="21"/>
        <v>vis</v>
      </c>
      <c r="E109" s="59">
        <f>VLOOKUP(C109,Active!C$21:E$973,3,FALSE)</f>
        <v>17064.219914771264</v>
      </c>
      <c r="F109" s="15" t="s">
        <v>46</v>
      </c>
      <c r="G109" s="12" t="str">
        <f t="shared" si="22"/>
        <v>54563.0345</v>
      </c>
      <c r="H109" s="10">
        <f t="shared" si="23"/>
        <v>17064.5</v>
      </c>
      <c r="I109" s="60" t="s">
        <v>441</v>
      </c>
      <c r="J109" s="61" t="s">
        <v>442</v>
      </c>
      <c r="K109" s="60" t="s">
        <v>443</v>
      </c>
      <c r="L109" s="60" t="s">
        <v>444</v>
      </c>
      <c r="M109" s="61" t="s">
        <v>375</v>
      </c>
      <c r="N109" s="61" t="s">
        <v>445</v>
      </c>
      <c r="O109" s="62" t="s">
        <v>416</v>
      </c>
      <c r="P109" s="63" t="s">
        <v>446</v>
      </c>
    </row>
    <row r="110" spans="1:16" ht="12.75" customHeight="1" thickBot="1" x14ac:dyDescent="0.25">
      <c r="A110" s="10" t="str">
        <f t="shared" si="18"/>
        <v>VSB 48 </v>
      </c>
      <c r="B110" s="15" t="str">
        <f t="shared" si="19"/>
        <v>II</v>
      </c>
      <c r="C110" s="10">
        <f t="shared" si="20"/>
        <v>54569.053399999997</v>
      </c>
      <c r="D110" s="12" t="str">
        <f t="shared" si="21"/>
        <v>vis</v>
      </c>
      <c r="E110" s="59">
        <f>VLOOKUP(C110,Active!C$21:E$973,3,FALSE)</f>
        <v>17070.195954613508</v>
      </c>
      <c r="F110" s="15" t="s">
        <v>46</v>
      </c>
      <c r="G110" s="12" t="str">
        <f t="shared" si="22"/>
        <v>54569.0534</v>
      </c>
      <c r="H110" s="10">
        <f t="shared" si="23"/>
        <v>17070.5</v>
      </c>
      <c r="I110" s="60" t="s">
        <v>447</v>
      </c>
      <c r="J110" s="61" t="s">
        <v>448</v>
      </c>
      <c r="K110" s="60" t="s">
        <v>449</v>
      </c>
      <c r="L110" s="60" t="s">
        <v>450</v>
      </c>
      <c r="M110" s="61" t="s">
        <v>375</v>
      </c>
      <c r="N110" s="61" t="s">
        <v>432</v>
      </c>
      <c r="O110" s="62" t="s">
        <v>433</v>
      </c>
      <c r="P110" s="63" t="s">
        <v>446</v>
      </c>
    </row>
    <row r="111" spans="1:16" ht="12.75" customHeight="1" thickBot="1" x14ac:dyDescent="0.25">
      <c r="A111" s="10" t="str">
        <f t="shared" si="18"/>
        <v>VSB 50 </v>
      </c>
      <c r="B111" s="15" t="str">
        <f t="shared" si="19"/>
        <v>I</v>
      </c>
      <c r="C111" s="10">
        <f t="shared" si="20"/>
        <v>54924.068700000003</v>
      </c>
      <c r="D111" s="12" t="str">
        <f t="shared" si="21"/>
        <v>vis</v>
      </c>
      <c r="E111" s="59">
        <f>VLOOKUP(C111,Active!C$21:E$973,3,FALSE)</f>
        <v>17422.68321597503</v>
      </c>
      <c r="F111" s="15" t="s">
        <v>46</v>
      </c>
      <c r="G111" s="12" t="str">
        <f t="shared" si="22"/>
        <v>54924.0687</v>
      </c>
      <c r="H111" s="10">
        <f t="shared" si="23"/>
        <v>17423</v>
      </c>
      <c r="I111" s="60" t="s">
        <v>456</v>
      </c>
      <c r="J111" s="61" t="s">
        <v>457</v>
      </c>
      <c r="K111" s="60" t="s">
        <v>458</v>
      </c>
      <c r="L111" s="60" t="s">
        <v>459</v>
      </c>
      <c r="M111" s="61" t="s">
        <v>375</v>
      </c>
      <c r="N111" s="61" t="s">
        <v>445</v>
      </c>
      <c r="O111" s="62" t="s">
        <v>416</v>
      </c>
      <c r="P111" s="63" t="s">
        <v>460</v>
      </c>
    </row>
    <row r="112" spans="1:16" ht="12.75" customHeight="1" thickBot="1" x14ac:dyDescent="0.25">
      <c r="A112" s="10" t="str">
        <f t="shared" si="18"/>
        <v>VSB 56 </v>
      </c>
      <c r="B112" s="15" t="str">
        <f t="shared" si="19"/>
        <v>I</v>
      </c>
      <c r="C112" s="10">
        <f t="shared" si="20"/>
        <v>56337.114500000003</v>
      </c>
      <c r="D112" s="12" t="str">
        <f t="shared" si="21"/>
        <v>vis</v>
      </c>
      <c r="E112" s="59">
        <f>VLOOKUP(C112,Active!C$21:E$973,3,FALSE)</f>
        <v>18825.66681758429</v>
      </c>
      <c r="F112" s="15" t="s">
        <v>46</v>
      </c>
      <c r="G112" s="12" t="str">
        <f t="shared" si="22"/>
        <v>56337.1145</v>
      </c>
      <c r="H112" s="10">
        <f t="shared" si="23"/>
        <v>18826</v>
      </c>
      <c r="I112" s="60" t="s">
        <v>485</v>
      </c>
      <c r="J112" s="61" t="s">
        <v>486</v>
      </c>
      <c r="K112" s="60" t="s">
        <v>487</v>
      </c>
      <c r="L112" s="60" t="s">
        <v>488</v>
      </c>
      <c r="M112" s="61" t="s">
        <v>375</v>
      </c>
      <c r="N112" s="61" t="s">
        <v>445</v>
      </c>
      <c r="O112" s="62" t="s">
        <v>489</v>
      </c>
      <c r="P112" s="63" t="s">
        <v>490</v>
      </c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</sheetData>
  <phoneticPr fontId="8" type="noConversion"/>
  <hyperlinks>
    <hyperlink ref="P103" r:id="rId1" display="http://www.bav-astro.de/sfs/BAVM_link.php?BAVMnr=56"/>
    <hyperlink ref="P104" r:id="rId2" display="http://www.bav-astro.de/sfs/BAVM_link.php?BAVMnr=56"/>
    <hyperlink ref="P22" r:id="rId3" display="http://www.bav-astro.de/sfs/BAVM_link.php?BAVMnr=68"/>
    <hyperlink ref="P26" r:id="rId4" display="http://www.bav-astro.de/sfs/BAVM_link.php?BAVMnr=68"/>
    <hyperlink ref="P27" r:id="rId5" display="http://www.bav-astro.de/sfs/BAVM_link.php?BAVMnr=68"/>
    <hyperlink ref="P32" r:id="rId6" display="http://www.konkoly.hu/cgi-bin/IBVS?4888"/>
    <hyperlink ref="P33" r:id="rId7" display="http://www.bav-astro.de/sfs/BAVM_link.php?BAVMnr=117"/>
    <hyperlink ref="P36" r:id="rId8" display="http://www.bav-astro.de/sfs/BAVM_link.php?BAVMnr=152"/>
    <hyperlink ref="P37" r:id="rId9" display="http://www.bav-astro.de/sfs/BAVM_link.php?BAVMnr=172"/>
    <hyperlink ref="P39" r:id="rId10" display="http://www.konkoly.hu/cgi-bin/IBVS?5616"/>
    <hyperlink ref="P40" r:id="rId11" display="http://www.konkoly.hu/cgi-bin/IBVS?5577"/>
    <hyperlink ref="P41" r:id="rId12" display="http://www.konkoly.hu/cgi-bin/IBVS?5583"/>
    <hyperlink ref="P42" r:id="rId13" display="http://www.konkoly.hu/cgi-bin/IBVS?5577"/>
    <hyperlink ref="P43" r:id="rId14" display="http://www.konkoly.hu/cgi-bin/IBVS?5577"/>
    <hyperlink ref="P44" r:id="rId15" display="http://www.konkoly.hu/cgi-bin/IBVS?5577"/>
    <hyperlink ref="P45" r:id="rId16" display="http://www.konkoly.hu/cgi-bin/IBVS?5577"/>
    <hyperlink ref="P107" r:id="rId17" display="http://vsolj.cetus-net.org/no43.pdf"/>
    <hyperlink ref="P46" r:id="rId18" display="http://www.konkoly.hu/cgi-bin/IBVS?5577"/>
    <hyperlink ref="P47" r:id="rId19" display="http://www.konkoly.hu/cgi-bin/IBVS?5843"/>
    <hyperlink ref="P108" r:id="rId20" display="http://vsolj.cetus-net.org/no46.pdf"/>
    <hyperlink ref="P48" r:id="rId21" display="http://www.konkoly.hu/cgi-bin/IBVS?5893"/>
    <hyperlink ref="P109" r:id="rId22" display="http://vsolj.cetus-net.org/no48.pdf"/>
    <hyperlink ref="P110" r:id="rId23" display="http://vsolj.cetus-net.org/no48.pdf"/>
    <hyperlink ref="P49" r:id="rId24" display="http://www.konkoly.hu/cgi-bin/IBVS?5894"/>
    <hyperlink ref="P111" r:id="rId25" display="http://vsolj.cetus-net.org/vsoljno50.pdf"/>
    <hyperlink ref="P50" r:id="rId26" display="http://www.konkoly.hu/cgi-bin/IBVS?5893"/>
    <hyperlink ref="P51" r:id="rId27" display="http://www.konkoly.hu/cgi-bin/IBVS?5893"/>
    <hyperlink ref="P52" r:id="rId28" display="http://www.konkoly.hu/cgi-bin/IBVS?5988"/>
    <hyperlink ref="P53" r:id="rId29" display="http://www.konkoly.hu/cgi-bin/IBVS?5992"/>
    <hyperlink ref="P54" r:id="rId30" display="http://www.konkoly.hu/cgi-bin/IBVS?6063"/>
    <hyperlink ref="P112" r:id="rId31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2023-01-17T04:34:44Z</dcterms:modified>
</cp:coreProperties>
</file>