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703040D-4EEE-4197-A2DF-41327EC07F0D}" xr6:coauthVersionLast="47" xr6:coauthVersionMax="47" xr10:uidLastSave="{00000000-0000-0000-0000-000000000000}"/>
  <bookViews>
    <workbookView xWindow="12720" yWindow="660" windowWidth="12975" windowHeight="14640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Active!$F$16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54" i="1" l="1"/>
  <c r="Q153" i="1"/>
  <c r="Q141" i="1"/>
  <c r="Q145" i="1"/>
  <c r="Q147" i="1"/>
  <c r="Q148" i="1"/>
  <c r="Q149" i="1"/>
  <c r="Q150" i="1"/>
  <c r="Q151" i="1"/>
  <c r="E152" i="1"/>
  <c r="F152" i="1" s="1"/>
  <c r="G152" i="1" s="1"/>
  <c r="K152" i="1" s="1"/>
  <c r="Q152" i="1"/>
  <c r="Q144" i="1"/>
  <c r="Q146" i="1"/>
  <c r="Q130" i="1"/>
  <c r="Q136" i="1"/>
  <c r="Q137" i="1"/>
  <c r="Q138" i="1"/>
  <c r="Q140" i="1"/>
  <c r="Q142" i="1"/>
  <c r="Q110" i="1"/>
  <c r="E143" i="1"/>
  <c r="F143" i="1" s="1"/>
  <c r="G143" i="1" s="1"/>
  <c r="K143" i="1" s="1"/>
  <c r="Q143" i="1"/>
  <c r="C7" i="1"/>
  <c r="E154" i="1" s="1"/>
  <c r="F154" i="1" s="1"/>
  <c r="C8" i="1"/>
  <c r="D11" i="1"/>
  <c r="P36" i="1" s="1"/>
  <c r="D12" i="1"/>
  <c r="E77" i="1"/>
  <c r="F77" i="1" s="1"/>
  <c r="G77" i="1" s="1"/>
  <c r="J77" i="1" s="1"/>
  <c r="E78" i="1"/>
  <c r="F78" i="1" s="1"/>
  <c r="G78" i="1" s="1"/>
  <c r="J78" i="1" s="1"/>
  <c r="E69" i="1"/>
  <c r="F69" i="1" s="1"/>
  <c r="G69" i="1" s="1"/>
  <c r="J69" i="1" s="1"/>
  <c r="E22" i="1"/>
  <c r="F22" i="1" s="1"/>
  <c r="G22" i="1" s="1"/>
  <c r="H22" i="1" s="1"/>
  <c r="E23" i="1"/>
  <c r="F23" i="1" s="1"/>
  <c r="G23" i="1" s="1"/>
  <c r="H23" i="1" s="1"/>
  <c r="E28" i="1"/>
  <c r="F28" i="1" s="1"/>
  <c r="G28" i="1" s="1"/>
  <c r="H28" i="1" s="1"/>
  <c r="E29" i="1"/>
  <c r="F29" i="1" s="1"/>
  <c r="G29" i="1" s="1"/>
  <c r="H29" i="1" s="1"/>
  <c r="E31" i="1"/>
  <c r="F31" i="1" s="1"/>
  <c r="G31" i="1" s="1"/>
  <c r="H31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52" i="1"/>
  <c r="F52" i="1" s="1"/>
  <c r="G52" i="1" s="1"/>
  <c r="I52" i="1" s="1"/>
  <c r="E54" i="1"/>
  <c r="F54" i="1" s="1"/>
  <c r="G54" i="1" s="1"/>
  <c r="I54" i="1" s="1"/>
  <c r="E55" i="1"/>
  <c r="F55" i="1" s="1"/>
  <c r="G55" i="1" s="1"/>
  <c r="I55" i="1" s="1"/>
  <c r="E60" i="1"/>
  <c r="F60" i="1" s="1"/>
  <c r="G60" i="1" s="1"/>
  <c r="I60" i="1" s="1"/>
  <c r="E61" i="1"/>
  <c r="F61" i="1" s="1"/>
  <c r="G61" i="1" s="1"/>
  <c r="I61" i="1" s="1"/>
  <c r="E65" i="1"/>
  <c r="F65" i="1" s="1"/>
  <c r="G65" i="1" s="1"/>
  <c r="I65" i="1" s="1"/>
  <c r="E66" i="1"/>
  <c r="F66" i="1" s="1"/>
  <c r="E80" i="1"/>
  <c r="F80" i="1" s="1"/>
  <c r="G80" i="1" s="1"/>
  <c r="K80" i="1" s="1"/>
  <c r="E86" i="1"/>
  <c r="F86" i="1" s="1"/>
  <c r="G86" i="1" s="1"/>
  <c r="J86" i="1" s="1"/>
  <c r="E89" i="1"/>
  <c r="F89" i="1" s="1"/>
  <c r="G89" i="1" s="1"/>
  <c r="K89" i="1" s="1"/>
  <c r="K92" i="1"/>
  <c r="E93" i="1"/>
  <c r="F93" i="1" s="1"/>
  <c r="G93" i="1" s="1"/>
  <c r="K93" i="1" s="1"/>
  <c r="E94" i="1"/>
  <c r="F94" i="1" s="1"/>
  <c r="G94" i="1" s="1"/>
  <c r="J94" i="1" s="1"/>
  <c r="E98" i="1"/>
  <c r="E50" i="3" s="1"/>
  <c r="E102" i="1"/>
  <c r="F102" i="1" s="1"/>
  <c r="G102" i="1" s="1"/>
  <c r="K102" i="1" s="1"/>
  <c r="E103" i="1"/>
  <c r="F103" i="1" s="1"/>
  <c r="G103" i="1" s="1"/>
  <c r="K103" i="1" s="1"/>
  <c r="E105" i="1"/>
  <c r="F105" i="1" s="1"/>
  <c r="E107" i="1"/>
  <c r="F107" i="1" s="1"/>
  <c r="G107" i="1" s="1"/>
  <c r="K107" i="1" s="1"/>
  <c r="E109" i="1"/>
  <c r="F109" i="1" s="1"/>
  <c r="E112" i="1"/>
  <c r="F112" i="1" s="1"/>
  <c r="G112" i="1" s="1"/>
  <c r="K112" i="1" s="1"/>
  <c r="E113" i="1"/>
  <c r="F113" i="1" s="1"/>
  <c r="G113" i="1" s="1"/>
  <c r="K113" i="1" s="1"/>
  <c r="E119" i="1"/>
  <c r="F119" i="1" s="1"/>
  <c r="E121" i="1"/>
  <c r="F121" i="1" s="1"/>
  <c r="G121" i="1" s="1"/>
  <c r="K121" i="1" s="1"/>
  <c r="E123" i="1"/>
  <c r="E69" i="3" s="1"/>
  <c r="E125" i="1"/>
  <c r="F125" i="1" s="1"/>
  <c r="G125" i="1" s="1"/>
  <c r="K125" i="1" s="1"/>
  <c r="E128" i="1"/>
  <c r="F128" i="1" s="1"/>
  <c r="G128" i="1" s="1"/>
  <c r="J128" i="1" s="1"/>
  <c r="E132" i="1"/>
  <c r="F132" i="1" s="1"/>
  <c r="E134" i="1"/>
  <c r="F134" i="1" s="1"/>
  <c r="G134" i="1" s="1"/>
  <c r="K134" i="1" s="1"/>
  <c r="E139" i="1"/>
  <c r="F139" i="1" s="1"/>
  <c r="G139" i="1" s="1"/>
  <c r="K139" i="1" s="1"/>
  <c r="G4" i="1"/>
  <c r="F4" i="1"/>
  <c r="E15" i="1"/>
  <c r="Q131" i="1"/>
  <c r="Q132" i="1"/>
  <c r="Q133" i="1"/>
  <c r="Q134" i="1"/>
  <c r="Q139" i="1"/>
  <c r="Q21" i="1"/>
  <c r="Q22" i="1"/>
  <c r="Q23" i="1"/>
  <c r="Q25" i="1"/>
  <c r="Q26" i="1"/>
  <c r="Q27" i="1"/>
  <c r="Q28" i="1"/>
  <c r="Q29" i="1"/>
  <c r="Q30" i="1"/>
  <c r="Q31" i="1"/>
  <c r="Q41" i="1"/>
  <c r="Q44" i="1"/>
  <c r="Q46" i="1"/>
  <c r="Q47" i="1"/>
  <c r="Q53" i="1"/>
  <c r="Q55" i="1"/>
  <c r="Q56" i="1"/>
  <c r="Q61" i="1"/>
  <c r="Q63" i="1"/>
  <c r="Q65" i="1"/>
  <c r="Q66" i="1"/>
  <c r="Q69" i="1"/>
  <c r="Q73" i="1"/>
  <c r="Q74" i="1"/>
  <c r="Q75" i="1"/>
  <c r="Q76" i="1"/>
  <c r="Q77" i="1"/>
  <c r="Q78" i="1"/>
  <c r="Q80" i="1"/>
  <c r="Q82" i="1"/>
  <c r="Q83" i="1"/>
  <c r="Q84" i="1"/>
  <c r="Q89" i="1"/>
  <c r="Q90" i="1"/>
  <c r="Q95" i="1"/>
  <c r="Q99" i="1"/>
  <c r="Q101" i="1"/>
  <c r="Q102" i="1"/>
  <c r="Q103" i="1"/>
  <c r="Q129" i="1"/>
  <c r="G75" i="3"/>
  <c r="C75" i="3"/>
  <c r="G115" i="3"/>
  <c r="C11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E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E52" i="3"/>
  <c r="G51" i="3"/>
  <c r="C51" i="3"/>
  <c r="G114" i="3"/>
  <c r="C114" i="3"/>
  <c r="G113" i="3"/>
  <c r="C113" i="3"/>
  <c r="G112" i="3"/>
  <c r="C112" i="3"/>
  <c r="G111" i="3"/>
  <c r="C111" i="3"/>
  <c r="G50" i="3"/>
  <c r="C50" i="3"/>
  <c r="G49" i="3"/>
  <c r="C49" i="3"/>
  <c r="G48" i="3"/>
  <c r="C48" i="3"/>
  <c r="G110" i="3"/>
  <c r="C110" i="3"/>
  <c r="G47" i="3"/>
  <c r="C47" i="3"/>
  <c r="E47" i="3"/>
  <c r="G46" i="3"/>
  <c r="C46" i="3"/>
  <c r="E46" i="3"/>
  <c r="G45" i="3"/>
  <c r="C45" i="3"/>
  <c r="G44" i="3"/>
  <c r="C44" i="3"/>
  <c r="G109" i="3"/>
  <c r="C109" i="3"/>
  <c r="G108" i="3"/>
  <c r="C108" i="3"/>
  <c r="E108" i="3"/>
  <c r="G43" i="3"/>
  <c r="C43" i="3"/>
  <c r="G42" i="3"/>
  <c r="C42" i="3"/>
  <c r="G41" i="3"/>
  <c r="C41" i="3"/>
  <c r="G40" i="3"/>
  <c r="C40" i="3"/>
  <c r="G107" i="3"/>
  <c r="C107" i="3"/>
  <c r="G106" i="3"/>
  <c r="C106" i="3"/>
  <c r="G105" i="3"/>
  <c r="C105" i="3"/>
  <c r="G39" i="3"/>
  <c r="C39" i="3"/>
  <c r="G104" i="3"/>
  <c r="C104" i="3"/>
  <c r="E104" i="3"/>
  <c r="G38" i="3"/>
  <c r="C38" i="3"/>
  <c r="G103" i="3"/>
  <c r="C103" i="3"/>
  <c r="E103" i="3"/>
  <c r="G102" i="3"/>
  <c r="C102" i="3"/>
  <c r="E102" i="3"/>
  <c r="G101" i="3"/>
  <c r="C101" i="3"/>
  <c r="G100" i="3"/>
  <c r="C100" i="3"/>
  <c r="G99" i="3"/>
  <c r="C99" i="3"/>
  <c r="G98" i="3"/>
  <c r="C98" i="3"/>
  <c r="G37" i="3"/>
  <c r="C37" i="3"/>
  <c r="G36" i="3"/>
  <c r="C36" i="3"/>
  <c r="G35" i="3"/>
  <c r="C35" i="3"/>
  <c r="G97" i="3"/>
  <c r="C97" i="3"/>
  <c r="E97" i="3"/>
  <c r="G34" i="3"/>
  <c r="C34" i="3"/>
  <c r="G96" i="3"/>
  <c r="C96" i="3"/>
  <c r="E96" i="3"/>
  <c r="G95" i="3"/>
  <c r="C95" i="3"/>
  <c r="E95" i="3"/>
  <c r="G33" i="3"/>
  <c r="C33" i="3"/>
  <c r="G94" i="3"/>
  <c r="C94" i="3"/>
  <c r="G32" i="3"/>
  <c r="C32" i="3"/>
  <c r="G93" i="3"/>
  <c r="C93" i="3"/>
  <c r="E93" i="3"/>
  <c r="G31" i="3"/>
  <c r="C31" i="3"/>
  <c r="E31" i="3"/>
  <c r="G30" i="3"/>
  <c r="C30" i="3"/>
  <c r="G29" i="3"/>
  <c r="C29" i="3"/>
  <c r="G28" i="3"/>
  <c r="C28" i="3"/>
  <c r="G92" i="3"/>
  <c r="C92" i="3"/>
  <c r="G91" i="3"/>
  <c r="C91" i="3"/>
  <c r="G27" i="3"/>
  <c r="C27" i="3"/>
  <c r="G90" i="3"/>
  <c r="C90" i="3"/>
  <c r="G26" i="3"/>
  <c r="C26" i="3"/>
  <c r="E26" i="3"/>
  <c r="G25" i="3"/>
  <c r="C25" i="3"/>
  <c r="G24" i="3"/>
  <c r="C24" i="3"/>
  <c r="G23" i="3"/>
  <c r="C23" i="3"/>
  <c r="G22" i="3"/>
  <c r="C22" i="3"/>
  <c r="G89" i="3"/>
  <c r="C89" i="3"/>
  <c r="G88" i="3"/>
  <c r="C88" i="3"/>
  <c r="E88" i="3"/>
  <c r="G21" i="3"/>
  <c r="C21" i="3"/>
  <c r="G87" i="3"/>
  <c r="C87" i="3"/>
  <c r="G20" i="3"/>
  <c r="C20" i="3"/>
  <c r="G19" i="3"/>
  <c r="C19" i="3"/>
  <c r="G86" i="3"/>
  <c r="C86" i="3"/>
  <c r="G18" i="3"/>
  <c r="C18" i="3"/>
  <c r="G17" i="3"/>
  <c r="C17" i="3"/>
  <c r="G16" i="3"/>
  <c r="C16" i="3"/>
  <c r="E16" i="3"/>
  <c r="G15" i="3"/>
  <c r="C15" i="3"/>
  <c r="E15" i="3"/>
  <c r="G14" i="3"/>
  <c r="C14" i="3"/>
  <c r="G13" i="3"/>
  <c r="C13" i="3"/>
  <c r="G12" i="3"/>
  <c r="C12" i="3"/>
  <c r="G11" i="3"/>
  <c r="C11" i="3"/>
  <c r="G85" i="3"/>
  <c r="C85" i="3"/>
  <c r="G84" i="3"/>
  <c r="C84" i="3"/>
  <c r="G83" i="3"/>
  <c r="C83" i="3"/>
  <c r="E83" i="3"/>
  <c r="G82" i="3"/>
  <c r="C82" i="3"/>
  <c r="E82" i="3"/>
  <c r="G81" i="3"/>
  <c r="C81" i="3"/>
  <c r="G80" i="3"/>
  <c r="C80" i="3"/>
  <c r="G79" i="3"/>
  <c r="C79" i="3"/>
  <c r="G78" i="3"/>
  <c r="C78" i="3"/>
  <c r="G77" i="3"/>
  <c r="C77" i="3"/>
  <c r="G76" i="3"/>
  <c r="C76" i="3"/>
  <c r="H75" i="3"/>
  <c r="B75" i="3"/>
  <c r="D75" i="3"/>
  <c r="A75" i="3"/>
  <c r="H115" i="3"/>
  <c r="B115" i="3"/>
  <c r="D115" i="3"/>
  <c r="A115" i="3"/>
  <c r="H74" i="3"/>
  <c r="B74" i="3"/>
  <c r="D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50" i="3"/>
  <c r="D50" i="3"/>
  <c r="B50" i="3"/>
  <c r="A50" i="3"/>
  <c r="H49" i="3"/>
  <c r="B49" i="3"/>
  <c r="D49" i="3"/>
  <c r="A49" i="3"/>
  <c r="H48" i="3"/>
  <c r="B48" i="3"/>
  <c r="D48" i="3"/>
  <c r="A48" i="3"/>
  <c r="H110" i="3"/>
  <c r="B110" i="3"/>
  <c r="F110" i="3"/>
  <c r="D110" i="3"/>
  <c r="A110" i="3"/>
  <c r="H47" i="3"/>
  <c r="B47" i="3"/>
  <c r="F47" i="3"/>
  <c r="D47" i="3"/>
  <c r="A47" i="3"/>
  <c r="H46" i="3"/>
  <c r="F46" i="3"/>
  <c r="D46" i="3"/>
  <c r="B46" i="3"/>
  <c r="A46" i="3"/>
  <c r="H45" i="3"/>
  <c r="B45" i="3"/>
  <c r="F45" i="3"/>
  <c r="D45" i="3"/>
  <c r="A45" i="3"/>
  <c r="H44" i="3"/>
  <c r="B44" i="3"/>
  <c r="F44" i="3"/>
  <c r="D44" i="3"/>
  <c r="A44" i="3"/>
  <c r="H109" i="3"/>
  <c r="B109" i="3"/>
  <c r="D109" i="3"/>
  <c r="A109" i="3"/>
  <c r="H108" i="3"/>
  <c r="B108" i="3"/>
  <c r="D108" i="3"/>
  <c r="A108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39" i="3"/>
  <c r="B39" i="3"/>
  <c r="D39" i="3"/>
  <c r="A39" i="3"/>
  <c r="H104" i="3"/>
  <c r="B104" i="3"/>
  <c r="D104" i="3"/>
  <c r="A104" i="3"/>
  <c r="H38" i="3"/>
  <c r="B38" i="3"/>
  <c r="D38" i="3"/>
  <c r="A38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37" i="3"/>
  <c r="B37" i="3"/>
  <c r="D37" i="3"/>
  <c r="A37" i="3"/>
  <c r="H36" i="3"/>
  <c r="B36" i="3"/>
  <c r="D36" i="3"/>
  <c r="A36" i="3"/>
  <c r="H35" i="3"/>
  <c r="B35" i="3"/>
  <c r="D35" i="3"/>
  <c r="A35" i="3"/>
  <c r="H97" i="3"/>
  <c r="B97" i="3"/>
  <c r="D97" i="3"/>
  <c r="A97" i="3"/>
  <c r="H34" i="3"/>
  <c r="B34" i="3"/>
  <c r="D34" i="3"/>
  <c r="A34" i="3"/>
  <c r="H96" i="3"/>
  <c r="B96" i="3"/>
  <c r="D96" i="3"/>
  <c r="A96" i="3"/>
  <c r="H95" i="3"/>
  <c r="B95" i="3"/>
  <c r="D95" i="3"/>
  <c r="A95" i="3"/>
  <c r="H33" i="3"/>
  <c r="B33" i="3"/>
  <c r="D33" i="3"/>
  <c r="A33" i="3"/>
  <c r="H94" i="3"/>
  <c r="B94" i="3"/>
  <c r="D94" i="3"/>
  <c r="A94" i="3"/>
  <c r="H32" i="3"/>
  <c r="B32" i="3"/>
  <c r="D32" i="3"/>
  <c r="A32" i="3"/>
  <c r="H93" i="3"/>
  <c r="B93" i="3"/>
  <c r="D93" i="3"/>
  <c r="A93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92" i="3"/>
  <c r="B92" i="3"/>
  <c r="D92" i="3"/>
  <c r="A92" i="3"/>
  <c r="H91" i="3"/>
  <c r="B91" i="3"/>
  <c r="D91" i="3"/>
  <c r="A91" i="3"/>
  <c r="H27" i="3"/>
  <c r="B27" i="3"/>
  <c r="D27" i="3"/>
  <c r="A27" i="3"/>
  <c r="H90" i="3"/>
  <c r="B90" i="3"/>
  <c r="D90" i="3"/>
  <c r="A90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89" i="3"/>
  <c r="B89" i="3"/>
  <c r="D89" i="3"/>
  <c r="A89" i="3"/>
  <c r="H88" i="3"/>
  <c r="B88" i="3"/>
  <c r="D88" i="3"/>
  <c r="A88" i="3"/>
  <c r="H21" i="3"/>
  <c r="B21" i="3"/>
  <c r="D21" i="3"/>
  <c r="A21" i="3"/>
  <c r="H87" i="3"/>
  <c r="B87" i="3"/>
  <c r="D87" i="3"/>
  <c r="A87" i="3"/>
  <c r="H20" i="3"/>
  <c r="B20" i="3"/>
  <c r="D20" i="3"/>
  <c r="A20" i="3"/>
  <c r="H19" i="3"/>
  <c r="B19" i="3"/>
  <c r="D19" i="3"/>
  <c r="A19" i="3"/>
  <c r="H86" i="3"/>
  <c r="B86" i="3"/>
  <c r="D86" i="3"/>
  <c r="A86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Q128" i="1"/>
  <c r="Q135" i="1"/>
  <c r="Q126" i="1"/>
  <c r="Q125" i="1"/>
  <c r="Q124" i="1"/>
  <c r="Q122" i="1"/>
  <c r="Q121" i="1"/>
  <c r="Q119" i="1"/>
  <c r="Q118" i="1"/>
  <c r="Q123" i="1"/>
  <c r="Q111" i="1"/>
  <c r="Q107" i="1"/>
  <c r="Q108" i="1"/>
  <c r="Q112" i="1"/>
  <c r="Q113" i="1"/>
  <c r="Q115" i="1"/>
  <c r="Q127" i="1"/>
  <c r="Q114" i="1"/>
  <c r="Q116" i="1"/>
  <c r="Q117" i="1"/>
  <c r="Q120" i="1"/>
  <c r="Q93" i="1"/>
  <c r="D21" i="2"/>
  <c r="I21" i="2" s="1"/>
  <c r="J21" i="2" s="1"/>
  <c r="D22" i="2"/>
  <c r="F22" i="2" s="1"/>
  <c r="G22" i="2" s="1"/>
  <c r="D23" i="2"/>
  <c r="F23" i="2" s="1"/>
  <c r="H23" i="2" s="1"/>
  <c r="D24" i="2"/>
  <c r="D25" i="2"/>
  <c r="D26" i="2"/>
  <c r="D27" i="2"/>
  <c r="F27" i="2" s="1"/>
  <c r="D28" i="2"/>
  <c r="D29" i="2"/>
  <c r="F29" i="2"/>
  <c r="D30" i="2"/>
  <c r="I30" i="2"/>
  <c r="J30" i="2"/>
  <c r="F30" i="2"/>
  <c r="D31" i="2"/>
  <c r="D32" i="2"/>
  <c r="D33" i="2"/>
  <c r="D34" i="2"/>
  <c r="I34" i="2" s="1"/>
  <c r="J34" i="2" s="1"/>
  <c r="D35" i="2"/>
  <c r="D36" i="2"/>
  <c r="D37" i="2"/>
  <c r="D38" i="2"/>
  <c r="I38" i="2" s="1"/>
  <c r="J38" i="2" s="1"/>
  <c r="D39" i="2"/>
  <c r="F39" i="2" s="1"/>
  <c r="D40" i="2"/>
  <c r="D41" i="2"/>
  <c r="F41" i="2"/>
  <c r="D42" i="2"/>
  <c r="I42" i="2" s="1"/>
  <c r="J42" i="2"/>
  <c r="F24" i="2"/>
  <c r="F26" i="2"/>
  <c r="H26" i="2"/>
  <c r="F32" i="2"/>
  <c r="H32" i="2" s="1"/>
  <c r="F34" i="2"/>
  <c r="H34" i="2"/>
  <c r="F42" i="2"/>
  <c r="D17" i="2"/>
  <c r="D43" i="2"/>
  <c r="F43" i="2"/>
  <c r="H43" i="2" s="1"/>
  <c r="D44" i="2"/>
  <c r="F44" i="2" s="1"/>
  <c r="G44" i="2" s="1"/>
  <c r="H44" i="2"/>
  <c r="E123" i="2"/>
  <c r="E16" i="2"/>
  <c r="E15" i="2"/>
  <c r="E21" i="2"/>
  <c r="E22" i="2"/>
  <c r="E23" i="2"/>
  <c r="E24" i="2"/>
  <c r="E25" i="2"/>
  <c r="E26" i="2"/>
  <c r="E27" i="2"/>
  <c r="E28" i="2"/>
  <c r="E29" i="2"/>
  <c r="E30" i="2"/>
  <c r="E31" i="2"/>
  <c r="E32" i="2"/>
  <c r="I32" i="2"/>
  <c r="J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F16" i="2"/>
  <c r="F15" i="2"/>
  <c r="D45" i="2"/>
  <c r="D46" i="2"/>
  <c r="H16" i="2"/>
  <c r="H15" i="2"/>
  <c r="G16" i="2"/>
  <c r="G15" i="2"/>
  <c r="I16" i="2"/>
  <c r="I15" i="2"/>
  <c r="I12" i="2"/>
  <c r="D16" i="2"/>
  <c r="D15" i="2"/>
  <c r="D12" i="2"/>
  <c r="J16" i="2"/>
  <c r="J15" i="2"/>
  <c r="D123" i="2"/>
  <c r="G123" i="2"/>
  <c r="F123" i="2"/>
  <c r="I123" i="2"/>
  <c r="J123" i="2"/>
  <c r="H123" i="2"/>
  <c r="E122" i="2"/>
  <c r="I122" i="2"/>
  <c r="D122" i="2"/>
  <c r="F122" i="2"/>
  <c r="H122" i="2"/>
  <c r="J122" i="2"/>
  <c r="E121" i="2"/>
  <c r="D121" i="2"/>
  <c r="E120" i="2"/>
  <c r="D120" i="2"/>
  <c r="E119" i="2"/>
  <c r="I119" i="2"/>
  <c r="J119" i="2"/>
  <c r="D119" i="2"/>
  <c r="F119" i="2"/>
  <c r="H119" i="2"/>
  <c r="E118" i="2"/>
  <c r="D118" i="2"/>
  <c r="F118" i="2"/>
  <c r="H118" i="2"/>
  <c r="I118" i="2"/>
  <c r="J118" i="2"/>
  <c r="E117" i="2"/>
  <c r="D117" i="2"/>
  <c r="I117" i="2"/>
  <c r="J117" i="2"/>
  <c r="E116" i="2"/>
  <c r="D116" i="2"/>
  <c r="F116" i="2"/>
  <c r="H116" i="2"/>
  <c r="E115" i="2"/>
  <c r="D115" i="2"/>
  <c r="F115" i="2"/>
  <c r="H115" i="2"/>
  <c r="I115" i="2"/>
  <c r="J115" i="2"/>
  <c r="E114" i="2"/>
  <c r="D114" i="2"/>
  <c r="G114" i="2"/>
  <c r="F114" i="2"/>
  <c r="H114" i="2"/>
  <c r="I114" i="2"/>
  <c r="J114" i="2"/>
  <c r="E113" i="2"/>
  <c r="D113" i="2"/>
  <c r="E112" i="2"/>
  <c r="D112" i="2"/>
  <c r="F112" i="2"/>
  <c r="H112" i="2"/>
  <c r="G112" i="2"/>
  <c r="E111" i="2"/>
  <c r="D111" i="2"/>
  <c r="I111" i="2"/>
  <c r="J111" i="2"/>
  <c r="E110" i="2"/>
  <c r="I110" i="2"/>
  <c r="J110" i="2"/>
  <c r="D110" i="2"/>
  <c r="E109" i="2"/>
  <c r="D109" i="2"/>
  <c r="E108" i="2"/>
  <c r="D108" i="2"/>
  <c r="F108" i="2"/>
  <c r="H108" i="2"/>
  <c r="G108" i="2"/>
  <c r="E107" i="2"/>
  <c r="D107" i="2"/>
  <c r="F107" i="2"/>
  <c r="I107" i="2"/>
  <c r="J107" i="2"/>
  <c r="E106" i="2"/>
  <c r="D106" i="2"/>
  <c r="E105" i="2"/>
  <c r="D105" i="2"/>
  <c r="E104" i="2"/>
  <c r="D104" i="2"/>
  <c r="F104" i="2"/>
  <c r="H104" i="2"/>
  <c r="E103" i="2"/>
  <c r="D103" i="2"/>
  <c r="F103" i="2"/>
  <c r="H103" i="2"/>
  <c r="I103" i="2"/>
  <c r="J103" i="2"/>
  <c r="G103" i="2"/>
  <c r="E102" i="2"/>
  <c r="I102" i="2"/>
  <c r="J102" i="2"/>
  <c r="D102" i="2"/>
  <c r="G102" i="2"/>
  <c r="F102" i="2"/>
  <c r="H102" i="2"/>
  <c r="E101" i="2"/>
  <c r="D101" i="2"/>
  <c r="E100" i="2"/>
  <c r="D100" i="2"/>
  <c r="I100" i="2"/>
  <c r="J100" i="2"/>
  <c r="E99" i="2"/>
  <c r="I99" i="2"/>
  <c r="D99" i="2"/>
  <c r="G99" i="2"/>
  <c r="F99" i="2"/>
  <c r="J99" i="2"/>
  <c r="H99" i="2"/>
  <c r="E98" i="2"/>
  <c r="I98" i="2"/>
  <c r="J98" i="2"/>
  <c r="D98" i="2"/>
  <c r="F98" i="2"/>
  <c r="H98" i="2"/>
  <c r="G98" i="2"/>
  <c r="E97" i="2"/>
  <c r="D97" i="2"/>
  <c r="E96" i="2"/>
  <c r="D96" i="2"/>
  <c r="F96" i="2"/>
  <c r="H96" i="2"/>
  <c r="E95" i="2"/>
  <c r="D95" i="2"/>
  <c r="E94" i="2"/>
  <c r="D94" i="2"/>
  <c r="F94" i="2"/>
  <c r="H94" i="2"/>
  <c r="E93" i="2"/>
  <c r="D93" i="2"/>
  <c r="I93" i="2"/>
  <c r="J93" i="2"/>
  <c r="E92" i="2"/>
  <c r="D92" i="2"/>
  <c r="E91" i="2"/>
  <c r="D91" i="2"/>
  <c r="E90" i="2"/>
  <c r="D90" i="2"/>
  <c r="G90" i="2"/>
  <c r="F90" i="2"/>
  <c r="H90" i="2"/>
  <c r="E89" i="2"/>
  <c r="I89" i="2"/>
  <c r="J89" i="2"/>
  <c r="D89" i="2"/>
  <c r="E88" i="2"/>
  <c r="D88" i="2"/>
  <c r="F88" i="2"/>
  <c r="H88" i="2"/>
  <c r="E87" i="2"/>
  <c r="I87" i="2"/>
  <c r="J87" i="2"/>
  <c r="D87" i="2"/>
  <c r="F87" i="2"/>
  <c r="H87" i="2"/>
  <c r="G87" i="2"/>
  <c r="E86" i="2"/>
  <c r="D86" i="2"/>
  <c r="I86" i="2"/>
  <c r="J86" i="2"/>
  <c r="F86" i="2"/>
  <c r="H86" i="2"/>
  <c r="G86" i="2"/>
  <c r="E85" i="2"/>
  <c r="D85" i="2"/>
  <c r="E84" i="2"/>
  <c r="D84" i="2"/>
  <c r="E83" i="2"/>
  <c r="D83" i="2"/>
  <c r="F83" i="2"/>
  <c r="H83" i="2"/>
  <c r="I83" i="2"/>
  <c r="J83" i="2"/>
  <c r="E82" i="2"/>
  <c r="D82" i="2"/>
  <c r="F82" i="2"/>
  <c r="H82" i="2"/>
  <c r="G82" i="2"/>
  <c r="E81" i="2"/>
  <c r="D81" i="2"/>
  <c r="I81" i="2"/>
  <c r="J81" i="2"/>
  <c r="E80" i="2"/>
  <c r="D80" i="2"/>
  <c r="G80" i="2"/>
  <c r="F80" i="2"/>
  <c r="H80" i="2"/>
  <c r="E79" i="2"/>
  <c r="I79" i="2"/>
  <c r="J79" i="2"/>
  <c r="D79" i="2"/>
  <c r="F79" i="2"/>
  <c r="H79" i="2"/>
  <c r="G79" i="2"/>
  <c r="E78" i="2"/>
  <c r="I78" i="2"/>
  <c r="J78" i="2"/>
  <c r="D78" i="2"/>
  <c r="F78" i="2"/>
  <c r="H78" i="2"/>
  <c r="G78" i="2"/>
  <c r="E77" i="2"/>
  <c r="I77" i="2"/>
  <c r="J77" i="2"/>
  <c r="D77" i="2"/>
  <c r="E76" i="2"/>
  <c r="D76" i="2"/>
  <c r="F76" i="2"/>
  <c r="G76" i="2"/>
  <c r="E75" i="2"/>
  <c r="I75" i="2"/>
  <c r="J75" i="2"/>
  <c r="D75" i="2"/>
  <c r="F75" i="2"/>
  <c r="E74" i="2"/>
  <c r="D74" i="2"/>
  <c r="E73" i="2"/>
  <c r="D73" i="2"/>
  <c r="E72" i="2"/>
  <c r="D72" i="2"/>
  <c r="F72" i="2"/>
  <c r="H72" i="2"/>
  <c r="E71" i="2"/>
  <c r="I71" i="2"/>
  <c r="J71" i="2"/>
  <c r="D71" i="2"/>
  <c r="F71" i="2"/>
  <c r="E70" i="2"/>
  <c r="D70" i="2"/>
  <c r="F70" i="2"/>
  <c r="E69" i="2"/>
  <c r="D69" i="2"/>
  <c r="I69" i="2"/>
  <c r="J69" i="2"/>
  <c r="E68" i="2"/>
  <c r="I68" i="2"/>
  <c r="D68" i="2"/>
  <c r="F68" i="2"/>
  <c r="E67" i="2"/>
  <c r="D67" i="2"/>
  <c r="E66" i="2"/>
  <c r="D66" i="2"/>
  <c r="G66" i="2"/>
  <c r="F66" i="2"/>
  <c r="H66" i="2"/>
  <c r="E65" i="2"/>
  <c r="I65" i="2"/>
  <c r="J65" i="2"/>
  <c r="D65" i="2"/>
  <c r="E64" i="2"/>
  <c r="D64" i="2"/>
  <c r="E63" i="2"/>
  <c r="I63" i="2"/>
  <c r="J63" i="2"/>
  <c r="D63" i="2"/>
  <c r="F63" i="2"/>
  <c r="H63" i="2"/>
  <c r="G63" i="2"/>
  <c r="E62" i="2"/>
  <c r="I62" i="2"/>
  <c r="J62" i="2"/>
  <c r="D62" i="2"/>
  <c r="F62" i="2"/>
  <c r="E61" i="2"/>
  <c r="D61" i="2"/>
  <c r="I61" i="2"/>
  <c r="J61" i="2"/>
  <c r="E60" i="2"/>
  <c r="D60" i="2"/>
  <c r="F60" i="2"/>
  <c r="H60" i="2"/>
  <c r="E59" i="2"/>
  <c r="I59" i="2"/>
  <c r="J59" i="2"/>
  <c r="D59" i="2"/>
  <c r="F59" i="2"/>
  <c r="G59" i="2"/>
  <c r="H59" i="2"/>
  <c r="E58" i="2"/>
  <c r="D58" i="2"/>
  <c r="F58" i="2"/>
  <c r="I58" i="2"/>
  <c r="J58" i="2"/>
  <c r="H58" i="2"/>
  <c r="E57" i="2"/>
  <c r="D57" i="2"/>
  <c r="I57" i="2"/>
  <c r="J57" i="2"/>
  <c r="E56" i="2"/>
  <c r="I56" i="2"/>
  <c r="J56" i="2"/>
  <c r="D56" i="2"/>
  <c r="F56" i="2"/>
  <c r="H56" i="2"/>
  <c r="E55" i="2"/>
  <c r="D55" i="2"/>
  <c r="F55" i="2"/>
  <c r="H55" i="2"/>
  <c r="G55" i="2"/>
  <c r="E54" i="2"/>
  <c r="D54" i="2"/>
  <c r="E53" i="2"/>
  <c r="I53" i="2"/>
  <c r="D53" i="2"/>
  <c r="F53" i="2"/>
  <c r="H53" i="2"/>
  <c r="J53" i="2"/>
  <c r="E52" i="2"/>
  <c r="D52" i="2"/>
  <c r="E51" i="2"/>
  <c r="D51" i="2"/>
  <c r="F51" i="2" s="1"/>
  <c r="H51" i="2" s="1"/>
  <c r="I51" i="2"/>
  <c r="J51" i="2" s="1"/>
  <c r="E50" i="2"/>
  <c r="D50" i="2"/>
  <c r="E49" i="2"/>
  <c r="D49" i="2"/>
  <c r="E48" i="2"/>
  <c r="D48" i="2"/>
  <c r="F48" i="2" s="1"/>
  <c r="E47" i="2"/>
  <c r="D47" i="2"/>
  <c r="O16" i="2"/>
  <c r="O15" i="2"/>
  <c r="O13" i="2"/>
  <c r="N16" i="2"/>
  <c r="N15" i="2"/>
  <c r="M16" i="2"/>
  <c r="M15" i="2"/>
  <c r="L16" i="2"/>
  <c r="L15" i="2"/>
  <c r="L13" i="2"/>
  <c r="K16" i="2"/>
  <c r="K15" i="2"/>
  <c r="K12" i="2"/>
  <c r="A13" i="2"/>
  <c r="G7" i="2"/>
  <c r="G6" i="2"/>
  <c r="G5" i="2"/>
  <c r="G4" i="2"/>
  <c r="Q98" i="1"/>
  <c r="Q109" i="1"/>
  <c r="Q87" i="1"/>
  <c r="Q97" i="1"/>
  <c r="Q100" i="1"/>
  <c r="Q92" i="1"/>
  <c r="Q106" i="1"/>
  <c r="F17" i="1"/>
  <c r="C17" i="1"/>
  <c r="Q104" i="1"/>
  <c r="Q105" i="1"/>
  <c r="Q91" i="1"/>
  <c r="Q96" i="1"/>
  <c r="Q94" i="1"/>
  <c r="Q86" i="1"/>
  <c r="Q81" i="1"/>
  <c r="Q79" i="1"/>
  <c r="Q88" i="1"/>
  <c r="Q85" i="1"/>
  <c r="Q72" i="1"/>
  <c r="Q70" i="1"/>
  <c r="Q39" i="1"/>
  <c r="Q51" i="1"/>
  <c r="Q52" i="1"/>
  <c r="Q57" i="1"/>
  <c r="Q58" i="1"/>
  <c r="Q59" i="1"/>
  <c r="Q33" i="1"/>
  <c r="Q34" i="1"/>
  <c r="Q35" i="1"/>
  <c r="Q36" i="1"/>
  <c r="Q38" i="1"/>
  <c r="Q40" i="1"/>
  <c r="Q62" i="1"/>
  <c r="Q67" i="1"/>
  <c r="Q68" i="1"/>
  <c r="Q71" i="1"/>
  <c r="Q37" i="1"/>
  <c r="Q54" i="1"/>
  <c r="Q42" i="1"/>
  <c r="Q43" i="1"/>
  <c r="Q45" i="1"/>
  <c r="Q48" i="1"/>
  <c r="Q49" i="1"/>
  <c r="Q50" i="1"/>
  <c r="Q60" i="1"/>
  <c r="Q64" i="1"/>
  <c r="Q32" i="1"/>
  <c r="Q24" i="1"/>
  <c r="K13" i="2"/>
  <c r="O12" i="2"/>
  <c r="F97" i="2"/>
  <c r="F105" i="2"/>
  <c r="G105" i="2"/>
  <c r="H105" i="2"/>
  <c r="I120" i="2"/>
  <c r="J120" i="2"/>
  <c r="E12" i="2"/>
  <c r="E13" i="2"/>
  <c r="I80" i="2"/>
  <c r="J80" i="2"/>
  <c r="I92" i="2"/>
  <c r="J92" i="2"/>
  <c r="F121" i="2"/>
  <c r="H121" i="2"/>
  <c r="G13" i="2"/>
  <c r="G12" i="2"/>
  <c r="G39" i="2"/>
  <c r="G27" i="2"/>
  <c r="I52" i="2"/>
  <c r="J52" i="2" s="1"/>
  <c r="I72" i="2"/>
  <c r="J72" i="2"/>
  <c r="F85" i="2"/>
  <c r="H85" i="2"/>
  <c r="G85" i="2"/>
  <c r="I112" i="2"/>
  <c r="J112" i="2"/>
  <c r="F45" i="2"/>
  <c r="H45" i="2"/>
  <c r="I45" i="2"/>
  <c r="J45" i="2" s="1"/>
  <c r="G34" i="2"/>
  <c r="F73" i="2"/>
  <c r="H73" i="2"/>
  <c r="F57" i="2"/>
  <c r="H57" i="2"/>
  <c r="G57" i="2"/>
  <c r="J68" i="2"/>
  <c r="I76" i="2"/>
  <c r="J76" i="2"/>
  <c r="F81" i="2"/>
  <c r="H81" i="2"/>
  <c r="G81" i="2"/>
  <c r="I88" i="2"/>
  <c r="J88" i="2"/>
  <c r="F93" i="2"/>
  <c r="G93" i="2"/>
  <c r="H93" i="2"/>
  <c r="F101" i="2"/>
  <c r="H101" i="2"/>
  <c r="I116" i="2"/>
  <c r="J116" i="2"/>
  <c r="H12" i="2"/>
  <c r="H13" i="2"/>
  <c r="I85" i="2"/>
  <c r="J85" i="2"/>
  <c r="G88" i="2"/>
  <c r="I97" i="2"/>
  <c r="J97" i="2"/>
  <c r="I105" i="2"/>
  <c r="J105" i="2"/>
  <c r="G116" i="2"/>
  <c r="G45" i="2"/>
  <c r="D13" i="2"/>
  <c r="F61" i="2"/>
  <c r="H61" i="2"/>
  <c r="I108" i="2"/>
  <c r="J108" i="2"/>
  <c r="I60" i="2"/>
  <c r="J60" i="2"/>
  <c r="F65" i="2"/>
  <c r="F69" i="2"/>
  <c r="H69" i="2"/>
  <c r="G69" i="2"/>
  <c r="F77" i="2"/>
  <c r="H77" i="2"/>
  <c r="F89" i="2"/>
  <c r="H89" i="2"/>
  <c r="I96" i="2"/>
  <c r="J96" i="2"/>
  <c r="I104" i="2"/>
  <c r="J104" i="2"/>
  <c r="F117" i="2"/>
  <c r="H117" i="2"/>
  <c r="G117" i="2"/>
  <c r="J12" i="2"/>
  <c r="J13" i="2"/>
  <c r="F13" i="2"/>
  <c r="F12" i="2"/>
  <c r="G53" i="2"/>
  <c r="G60" i="2"/>
  <c r="I73" i="2"/>
  <c r="J73" i="2"/>
  <c r="G96" i="2"/>
  <c r="G104" i="2"/>
  <c r="I121" i="2"/>
  <c r="J121" i="2"/>
  <c r="I39" i="2"/>
  <c r="J39" i="2" s="1"/>
  <c r="I66" i="2"/>
  <c r="J66" i="2"/>
  <c r="I70" i="2"/>
  <c r="J70" i="2"/>
  <c r="I82" i="2"/>
  <c r="J82" i="2"/>
  <c r="I90" i="2"/>
  <c r="J90" i="2"/>
  <c r="G83" i="2"/>
  <c r="G118" i="2"/>
  <c r="G122" i="2"/>
  <c r="E74" i="1"/>
  <c r="F74" i="1" s="1"/>
  <c r="U74" i="1" s="1"/>
  <c r="E99" i="3"/>
  <c r="E73" i="1"/>
  <c r="F73" i="1" s="1"/>
  <c r="G73" i="1" s="1"/>
  <c r="J73" i="1" s="1"/>
  <c r="G89" i="2"/>
  <c r="G77" i="2"/>
  <c r="G101" i="2"/>
  <c r="G121" i="2"/>
  <c r="H65" i="2"/>
  <c r="G65" i="2"/>
  <c r="F64" i="2"/>
  <c r="H64" i="2"/>
  <c r="H97" i="2"/>
  <c r="G97" i="2"/>
  <c r="G68" i="2"/>
  <c r="H68" i="2"/>
  <c r="F74" i="2"/>
  <c r="H74" i="2"/>
  <c r="I74" i="2"/>
  <c r="J74" i="2"/>
  <c r="F113" i="2"/>
  <c r="H113" i="2"/>
  <c r="I113" i="2"/>
  <c r="J113" i="2"/>
  <c r="H62" i="2"/>
  <c r="G62" i="2"/>
  <c r="G71" i="2"/>
  <c r="H71" i="2"/>
  <c r="F95" i="2"/>
  <c r="H95" i="2"/>
  <c r="I95" i="2"/>
  <c r="J95" i="2"/>
  <c r="F46" i="2"/>
  <c r="G46" i="2" s="1"/>
  <c r="F84" i="2"/>
  <c r="H84" i="2"/>
  <c r="I84" i="2"/>
  <c r="J84" i="2"/>
  <c r="M12" i="2"/>
  <c r="M13" i="2"/>
  <c r="I64" i="2"/>
  <c r="J64" i="2"/>
  <c r="N12" i="2"/>
  <c r="N13" i="2"/>
  <c r="F49" i="2"/>
  <c r="I49" i="2"/>
  <c r="J49" i="2" s="1"/>
  <c r="F106" i="2"/>
  <c r="H106" i="2"/>
  <c r="G106" i="2"/>
  <c r="I106" i="2"/>
  <c r="J106" i="2"/>
  <c r="G61" i="2"/>
  <c r="F91" i="2"/>
  <c r="H91" i="2"/>
  <c r="I47" i="2"/>
  <c r="J47" i="2"/>
  <c r="F47" i="2"/>
  <c r="F54" i="2"/>
  <c r="H54" i="2"/>
  <c r="G54" i="2"/>
  <c r="H70" i="2"/>
  <c r="G70" i="2"/>
  <c r="G109" i="2"/>
  <c r="F109" i="2"/>
  <c r="H109" i="2"/>
  <c r="F67" i="2"/>
  <c r="H67" i="2"/>
  <c r="F92" i="2"/>
  <c r="H92" i="2"/>
  <c r="H107" i="2"/>
  <c r="G107" i="2"/>
  <c r="I54" i="2"/>
  <c r="J54" i="2"/>
  <c r="G56" i="2"/>
  <c r="I67" i="2"/>
  <c r="J67" i="2"/>
  <c r="H76" i="2"/>
  <c r="I91" i="2"/>
  <c r="J91" i="2"/>
  <c r="F100" i="2"/>
  <c r="F111" i="2"/>
  <c r="G119" i="2"/>
  <c r="I22" i="2"/>
  <c r="J22" i="2"/>
  <c r="G94" i="2"/>
  <c r="I109" i="2"/>
  <c r="J109" i="2"/>
  <c r="F120" i="2"/>
  <c r="H120" i="2"/>
  <c r="G120" i="2"/>
  <c r="I55" i="2"/>
  <c r="J55" i="2"/>
  <c r="G72" i="2"/>
  <c r="I94" i="2"/>
  <c r="J94" i="2"/>
  <c r="I101" i="2"/>
  <c r="J101" i="2"/>
  <c r="F110" i="2"/>
  <c r="H110" i="2"/>
  <c r="L12" i="2"/>
  <c r="G58" i="2"/>
  <c r="H75" i="2"/>
  <c r="G75" i="2"/>
  <c r="I13" i="2"/>
  <c r="G73" i="2"/>
  <c r="G115" i="2"/>
  <c r="I46" i="2"/>
  <c r="J46" i="2"/>
  <c r="I41" i="2"/>
  <c r="J41" i="2" s="1"/>
  <c r="I25" i="2"/>
  <c r="J25" i="2" s="1"/>
  <c r="I29" i="2"/>
  <c r="J29" i="2"/>
  <c r="E75" i="1"/>
  <c r="F75" i="1" s="1"/>
  <c r="G75" i="1" s="1"/>
  <c r="J75" i="1" s="1"/>
  <c r="E137" i="1"/>
  <c r="F137" i="1" s="1"/>
  <c r="G137" i="1" s="1"/>
  <c r="K137" i="1" s="1"/>
  <c r="E142" i="1"/>
  <c r="F142" i="1" s="1"/>
  <c r="G142" i="1" s="1"/>
  <c r="K142" i="1" s="1"/>
  <c r="E130" i="1"/>
  <c r="F130" i="1" s="1"/>
  <c r="G130" i="1" s="1"/>
  <c r="K130" i="1" s="1"/>
  <c r="E138" i="1"/>
  <c r="F138" i="1"/>
  <c r="G138" i="1" s="1"/>
  <c r="K138" i="1" s="1"/>
  <c r="E110" i="1"/>
  <c r="F110" i="1" s="1"/>
  <c r="G110" i="1" s="1"/>
  <c r="K110" i="1" s="1"/>
  <c r="G92" i="2"/>
  <c r="G67" i="2"/>
  <c r="H100" i="2"/>
  <c r="G100" i="2"/>
  <c r="E100" i="3"/>
  <c r="G84" i="2"/>
  <c r="G95" i="2"/>
  <c r="G113" i="2"/>
  <c r="G91" i="2"/>
  <c r="G110" i="2"/>
  <c r="H111" i="2"/>
  <c r="G111" i="2"/>
  <c r="G74" i="2"/>
  <c r="G64" i="2"/>
  <c r="F28" i="2"/>
  <c r="I28" i="2"/>
  <c r="J28" i="2" s="1"/>
  <c r="I44" i="2"/>
  <c r="J44" i="2"/>
  <c r="H39" i="2"/>
  <c r="G51" i="2"/>
  <c r="H49" i="2"/>
  <c r="G49" i="2"/>
  <c r="G32" i="2"/>
  <c r="G26" i="2"/>
  <c r="I26" i="2"/>
  <c r="J26" i="2" s="1"/>
  <c r="I31" i="2"/>
  <c r="J31" i="2" s="1"/>
  <c r="F31" i="2"/>
  <c r="F25" i="2"/>
  <c r="F38" i="2"/>
  <c r="G38" i="2"/>
  <c r="H31" i="2"/>
  <c r="G31" i="2"/>
  <c r="F21" i="2"/>
  <c r="G21" i="2"/>
  <c r="H27" i="2"/>
  <c r="G28" i="2"/>
  <c r="H28" i="2"/>
  <c r="H48" i="2"/>
  <c r="I48" i="2"/>
  <c r="J48" i="2" s="1"/>
  <c r="I24" i="2"/>
  <c r="J24" i="2" s="1"/>
  <c r="G23" i="2"/>
  <c r="I23" i="2"/>
  <c r="J23" i="2" s="1"/>
  <c r="G43" i="2"/>
  <c r="I43" i="2"/>
  <c r="J43" i="2" s="1"/>
  <c r="H21" i="2"/>
  <c r="G48" i="2"/>
  <c r="H46" i="2"/>
  <c r="F52" i="2"/>
  <c r="H38" i="2"/>
  <c r="E18" i="2"/>
  <c r="D18" i="2"/>
  <c r="E98" i="3" l="1"/>
  <c r="E114" i="3"/>
  <c r="E56" i="3"/>
  <c r="E92" i="1"/>
  <c r="E133" i="1"/>
  <c r="F133" i="1" s="1"/>
  <c r="G133" i="1" s="1"/>
  <c r="K133" i="1" s="1"/>
  <c r="E131" i="1"/>
  <c r="F131" i="1" s="1"/>
  <c r="G131" i="1" s="1"/>
  <c r="K131" i="1" s="1"/>
  <c r="E124" i="1"/>
  <c r="E120" i="1"/>
  <c r="E66" i="3" s="1"/>
  <c r="E111" i="1"/>
  <c r="E106" i="1"/>
  <c r="F106" i="1" s="1"/>
  <c r="G106" i="1" s="1"/>
  <c r="K106" i="1" s="1"/>
  <c r="E97" i="1"/>
  <c r="E91" i="1"/>
  <c r="E67" i="1"/>
  <c r="F67" i="1" s="1"/>
  <c r="G67" i="1" s="1"/>
  <c r="J67" i="1" s="1"/>
  <c r="E63" i="1"/>
  <c r="E58" i="1"/>
  <c r="E49" i="1"/>
  <c r="E40" i="1"/>
  <c r="E35" i="1"/>
  <c r="E26" i="1"/>
  <c r="E70" i="1"/>
  <c r="E149" i="1"/>
  <c r="F149" i="1" s="1"/>
  <c r="G149" i="1" s="1"/>
  <c r="K149" i="1" s="1"/>
  <c r="E145" i="1"/>
  <c r="F145" i="1" s="1"/>
  <c r="G145" i="1" s="1"/>
  <c r="K145" i="1" s="1"/>
  <c r="E59" i="3"/>
  <c r="E74" i="3"/>
  <c r="G132" i="1"/>
  <c r="K132" i="1" s="1"/>
  <c r="E129" i="1"/>
  <c r="F129" i="1" s="1"/>
  <c r="G129" i="1" s="1"/>
  <c r="K129" i="1" s="1"/>
  <c r="G119" i="1"/>
  <c r="K119" i="1" s="1"/>
  <c r="E116" i="1"/>
  <c r="G109" i="1"/>
  <c r="K109" i="1" s="1"/>
  <c r="G105" i="1"/>
  <c r="J105" i="1" s="1"/>
  <c r="E101" i="1"/>
  <c r="E90" i="1"/>
  <c r="F90" i="1" s="1"/>
  <c r="G90" i="1" s="1"/>
  <c r="K90" i="1" s="1"/>
  <c r="E85" i="1"/>
  <c r="E81" i="1"/>
  <c r="G66" i="1"/>
  <c r="J66" i="1" s="1"/>
  <c r="E53" i="1"/>
  <c r="E44" i="1"/>
  <c r="E39" i="1"/>
  <c r="F39" i="1" s="1"/>
  <c r="G39" i="1" s="1"/>
  <c r="I39" i="1" s="1"/>
  <c r="E30" i="1"/>
  <c r="E21" i="1"/>
  <c r="E76" i="1"/>
  <c r="E136" i="1"/>
  <c r="F136" i="1" s="1"/>
  <c r="G136" i="1" s="1"/>
  <c r="K136" i="1" s="1"/>
  <c r="E21" i="3"/>
  <c r="E96" i="1"/>
  <c r="F123" i="1"/>
  <c r="G123" i="1" s="1"/>
  <c r="K123" i="1" s="1"/>
  <c r="E115" i="1"/>
  <c r="F115" i="1" s="1"/>
  <c r="G115" i="1" s="1"/>
  <c r="K115" i="1" s="1"/>
  <c r="E100" i="1"/>
  <c r="F100" i="1" s="1"/>
  <c r="G100" i="1" s="1"/>
  <c r="K100" i="1" s="1"/>
  <c r="E95" i="1"/>
  <c r="E84" i="1"/>
  <c r="F84" i="1" s="1"/>
  <c r="G84" i="1" s="1"/>
  <c r="K84" i="1" s="1"/>
  <c r="E62" i="1"/>
  <c r="E57" i="1"/>
  <c r="E48" i="1"/>
  <c r="E43" i="1"/>
  <c r="E34" i="1"/>
  <c r="E25" i="1"/>
  <c r="E72" i="1"/>
  <c r="E141" i="1"/>
  <c r="F141" i="1" s="1"/>
  <c r="G141" i="1" s="1"/>
  <c r="K141" i="1" s="1"/>
  <c r="E41" i="3"/>
  <c r="E54" i="3"/>
  <c r="E151" i="1"/>
  <c r="F151" i="1" s="1"/>
  <c r="P151" i="1" s="1"/>
  <c r="E148" i="1"/>
  <c r="F148" i="1" s="1"/>
  <c r="G148" i="1" s="1"/>
  <c r="K148" i="1" s="1"/>
  <c r="E27" i="3"/>
  <c r="E127" i="1"/>
  <c r="F127" i="1" s="1"/>
  <c r="G127" i="1" s="1"/>
  <c r="K127" i="1" s="1"/>
  <c r="E122" i="1"/>
  <c r="E118" i="1"/>
  <c r="F118" i="1" s="1"/>
  <c r="G118" i="1" s="1"/>
  <c r="K118" i="1" s="1"/>
  <c r="E114" i="1"/>
  <c r="E108" i="1"/>
  <c r="E55" i="3" s="1"/>
  <c r="E104" i="1"/>
  <c r="E99" i="1"/>
  <c r="E88" i="1"/>
  <c r="F88" i="1" s="1"/>
  <c r="G88" i="1" s="1"/>
  <c r="K88" i="1" s="1"/>
  <c r="E83" i="1"/>
  <c r="E56" i="1"/>
  <c r="E51" i="1"/>
  <c r="E42" i="1"/>
  <c r="E33" i="1"/>
  <c r="E24" i="1"/>
  <c r="F24" i="1" s="1"/>
  <c r="G24" i="1" s="1"/>
  <c r="H24" i="1" s="1"/>
  <c r="E68" i="1"/>
  <c r="E146" i="1"/>
  <c r="F146" i="1" s="1"/>
  <c r="G146" i="1" s="1"/>
  <c r="K146" i="1" s="1"/>
  <c r="E140" i="1"/>
  <c r="F140" i="1" s="1"/>
  <c r="G140" i="1" s="1"/>
  <c r="K140" i="1" s="1"/>
  <c r="E153" i="1"/>
  <c r="F153" i="1" s="1"/>
  <c r="G153" i="1" s="1"/>
  <c r="K153" i="1" s="1"/>
  <c r="E113" i="3"/>
  <c r="E144" i="1"/>
  <c r="F144" i="1" s="1"/>
  <c r="G144" i="1" s="1"/>
  <c r="K144" i="1" s="1"/>
  <c r="E150" i="1"/>
  <c r="F150" i="1" s="1"/>
  <c r="G150" i="1" s="1"/>
  <c r="K150" i="1" s="1"/>
  <c r="E77" i="3"/>
  <c r="E58" i="3"/>
  <c r="E67" i="3"/>
  <c r="E135" i="1"/>
  <c r="E126" i="1"/>
  <c r="E117" i="1"/>
  <c r="E87" i="1"/>
  <c r="E82" i="1"/>
  <c r="E79" i="1"/>
  <c r="E64" i="1"/>
  <c r="F64" i="1" s="1"/>
  <c r="G64" i="1" s="1"/>
  <c r="I64" i="1" s="1"/>
  <c r="E59" i="1"/>
  <c r="E50" i="1"/>
  <c r="E41" i="1"/>
  <c r="E32" i="1"/>
  <c r="E27" i="1"/>
  <c r="E71" i="1"/>
  <c r="E147" i="1"/>
  <c r="F147" i="1" s="1"/>
  <c r="G147" i="1" s="1"/>
  <c r="K147" i="1" s="1"/>
  <c r="E17" i="3"/>
  <c r="E89" i="3"/>
  <c r="E91" i="3"/>
  <c r="E53" i="3"/>
  <c r="E64" i="3"/>
  <c r="E61" i="3"/>
  <c r="E107" i="3"/>
  <c r="E115" i="3"/>
  <c r="F120" i="1"/>
  <c r="G120" i="1" s="1"/>
  <c r="J120" i="1" s="1"/>
  <c r="F98" i="1"/>
  <c r="G98" i="1" s="1"/>
  <c r="K98" i="1" s="1"/>
  <c r="E85" i="3"/>
  <c r="E33" i="3"/>
  <c r="E109" i="3"/>
  <c r="E73" i="3"/>
  <c r="E43" i="3"/>
  <c r="E71" i="3"/>
  <c r="P138" i="1"/>
  <c r="R138" i="1" s="1"/>
  <c r="E78" i="3"/>
  <c r="G154" i="1"/>
  <c r="K154" i="1" s="1"/>
  <c r="P154" i="1"/>
  <c r="I36" i="2"/>
  <c r="J36" i="2" s="1"/>
  <c r="G36" i="2"/>
  <c r="F36" i="2"/>
  <c r="H36" i="2" s="1"/>
  <c r="P38" i="1"/>
  <c r="W6" i="1"/>
  <c r="W11" i="1"/>
  <c r="W15" i="1"/>
  <c r="P93" i="1"/>
  <c r="R93" i="1" s="1"/>
  <c r="P22" i="1"/>
  <c r="R22" i="1" s="1"/>
  <c r="P67" i="1"/>
  <c r="R67" i="1" s="1"/>
  <c r="P84" i="1"/>
  <c r="R84" i="1" s="1"/>
  <c r="P146" i="1"/>
  <c r="R146" i="1" s="1"/>
  <c r="P77" i="1"/>
  <c r="R77" i="1" s="1"/>
  <c r="P78" i="1"/>
  <c r="R78" i="1" s="1"/>
  <c r="P149" i="1"/>
  <c r="R149" i="1" s="1"/>
  <c r="P89" i="1"/>
  <c r="R89" i="1" s="1"/>
  <c r="P113" i="1"/>
  <c r="R113" i="1" s="1"/>
  <c r="W9" i="1"/>
  <c r="W3" i="1"/>
  <c r="P112" i="1"/>
  <c r="R112" i="1" s="1"/>
  <c r="P47" i="1"/>
  <c r="R47" i="1" s="1"/>
  <c r="P23" i="1"/>
  <c r="R23" i="1" s="1"/>
  <c r="P142" i="1"/>
  <c r="R142" i="1" s="1"/>
  <c r="P131" i="1"/>
  <c r="R131" i="1" s="1"/>
  <c r="P121" i="1"/>
  <c r="R121" i="1" s="1"/>
  <c r="P28" i="1"/>
  <c r="R28" i="1" s="1"/>
  <c r="P153" i="1"/>
  <c r="R153" i="1" s="1"/>
  <c r="P52" i="1"/>
  <c r="P152" i="1"/>
  <c r="R152" i="1" s="1"/>
  <c r="P132" i="1"/>
  <c r="R132" i="1" s="1"/>
  <c r="P64" i="1"/>
  <c r="R64" i="1" s="1"/>
  <c r="W13" i="1"/>
  <c r="P128" i="1"/>
  <c r="R128" i="1" s="1"/>
  <c r="P134" i="1"/>
  <c r="R134" i="1" s="1"/>
  <c r="P123" i="1"/>
  <c r="P150" i="1"/>
  <c r="R150" i="1" s="1"/>
  <c r="P102" i="1"/>
  <c r="R102" i="1" s="1"/>
  <c r="W5" i="1"/>
  <c r="P75" i="1"/>
  <c r="R75" i="1" s="1"/>
  <c r="P74" i="1"/>
  <c r="R74" i="1" s="1"/>
  <c r="P88" i="1"/>
  <c r="R88" i="1" s="1"/>
  <c r="P46" i="1"/>
  <c r="R46" i="1" s="1"/>
  <c r="P45" i="1"/>
  <c r="P94" i="1"/>
  <c r="R94" i="1" s="1"/>
  <c r="P60" i="1"/>
  <c r="P24" i="1"/>
  <c r="P133" i="1"/>
  <c r="R133" i="1" s="1"/>
  <c r="P143" i="1"/>
  <c r="R143" i="1" s="1"/>
  <c r="W4" i="1"/>
  <c r="P69" i="1"/>
  <c r="R69" i="1" s="1"/>
  <c r="W10" i="1"/>
  <c r="P145" i="1"/>
  <c r="R145" i="1" s="1"/>
  <c r="P119" i="1"/>
  <c r="R119" i="1" s="1"/>
  <c r="W17" i="1"/>
  <c r="W18" i="1"/>
  <c r="P148" i="1"/>
  <c r="R148" i="1" s="1"/>
  <c r="P130" i="1"/>
  <c r="R130" i="1" s="1"/>
  <c r="P118" i="1"/>
  <c r="R118" i="1" s="1"/>
  <c r="P136" i="1"/>
  <c r="R136" i="1" s="1"/>
  <c r="P137" i="1"/>
  <c r="R137" i="1" s="1"/>
  <c r="P73" i="1"/>
  <c r="R73" i="1" s="1"/>
  <c r="P61" i="1"/>
  <c r="R61" i="1" s="1"/>
  <c r="P103" i="1"/>
  <c r="R103" i="1" s="1"/>
  <c r="P106" i="1"/>
  <c r="R106" i="1" s="1"/>
  <c r="P90" i="1"/>
  <c r="R90" i="1" s="1"/>
  <c r="P127" i="1"/>
  <c r="R127" i="1" s="1"/>
  <c r="P125" i="1"/>
  <c r="R125" i="1" s="1"/>
  <c r="P86" i="1"/>
  <c r="R86" i="1" s="1"/>
  <c r="P141" i="1"/>
  <c r="R141" i="1" s="1"/>
  <c r="P140" i="1"/>
  <c r="R140" i="1" s="1"/>
  <c r="P110" i="1"/>
  <c r="R110" i="1" s="1"/>
  <c r="P139" i="1"/>
  <c r="R139" i="1" s="1"/>
  <c r="W8" i="1"/>
  <c r="P147" i="1"/>
  <c r="R147" i="1" s="1"/>
  <c r="W7" i="1"/>
  <c r="P54" i="1"/>
  <c r="P115" i="1"/>
  <c r="R115" i="1" s="1"/>
  <c r="P31" i="1"/>
  <c r="R31" i="1" s="1"/>
  <c r="P105" i="1"/>
  <c r="R105" i="1" s="1"/>
  <c r="P65" i="1"/>
  <c r="R65" i="1" s="1"/>
  <c r="P37" i="1"/>
  <c r="P100" i="1"/>
  <c r="R100" i="1" s="1"/>
  <c r="P98" i="1"/>
  <c r="R98" i="1" s="1"/>
  <c r="P107" i="1"/>
  <c r="R107" i="1" s="1"/>
  <c r="P66" i="1"/>
  <c r="R66" i="1" s="1"/>
  <c r="W14" i="1"/>
  <c r="P39" i="1"/>
  <c r="P80" i="1"/>
  <c r="R80" i="1" s="1"/>
  <c r="P109" i="1"/>
  <c r="W16" i="1"/>
  <c r="W2" i="1"/>
  <c r="P129" i="1"/>
  <c r="R129" i="1" s="1"/>
  <c r="H47" i="2"/>
  <c r="G47" i="2"/>
  <c r="F50" i="2"/>
  <c r="H50" i="2" s="1"/>
  <c r="G50" i="2"/>
  <c r="I50" i="2"/>
  <c r="J50" i="2" s="1"/>
  <c r="H42" i="2"/>
  <c r="G42" i="2"/>
  <c r="F35" i="2"/>
  <c r="I35" i="2"/>
  <c r="J35" i="2" s="1"/>
  <c r="H22" i="2"/>
  <c r="W12" i="1"/>
  <c r="P29" i="1"/>
  <c r="R29" i="1" s="1"/>
  <c r="G33" i="2"/>
  <c r="I33" i="2"/>
  <c r="J33" i="2" s="1"/>
  <c r="F33" i="2"/>
  <c r="P55" i="1"/>
  <c r="R55" i="1" s="1"/>
  <c r="H41" i="2"/>
  <c r="G41" i="2"/>
  <c r="H29" i="2"/>
  <c r="G29" i="2"/>
  <c r="G25" i="2"/>
  <c r="H25" i="2"/>
  <c r="F40" i="2"/>
  <c r="I40" i="2"/>
  <c r="J40" i="2" s="1"/>
  <c r="I27" i="2"/>
  <c r="G30" i="2"/>
  <c r="H30" i="2"/>
  <c r="H52" i="2"/>
  <c r="G52" i="2"/>
  <c r="H24" i="2"/>
  <c r="G24" i="2"/>
  <c r="G37" i="2"/>
  <c r="I37" i="2"/>
  <c r="J37" i="2" s="1"/>
  <c r="F37" i="2"/>
  <c r="H37" i="2" s="1"/>
  <c r="I18" i="2"/>
  <c r="F18" i="2"/>
  <c r="R123" i="1" l="1"/>
  <c r="F27" i="1"/>
  <c r="E81" i="3"/>
  <c r="E42" i="3"/>
  <c r="F87" i="1"/>
  <c r="F33" i="1"/>
  <c r="E12" i="3"/>
  <c r="F104" i="1"/>
  <c r="E51" i="3"/>
  <c r="F43" i="1"/>
  <c r="E20" i="3"/>
  <c r="E23" i="3"/>
  <c r="F49" i="1"/>
  <c r="F42" i="1"/>
  <c r="E19" i="3"/>
  <c r="R109" i="1"/>
  <c r="E86" i="3"/>
  <c r="F41" i="1"/>
  <c r="F117" i="1"/>
  <c r="E63" i="3"/>
  <c r="F51" i="1"/>
  <c r="E25" i="3"/>
  <c r="E60" i="3"/>
  <c r="F114" i="1"/>
  <c r="E28" i="3"/>
  <c r="F57" i="1"/>
  <c r="E90" i="3"/>
  <c r="F53" i="1"/>
  <c r="E62" i="3"/>
  <c r="F116" i="1"/>
  <c r="E94" i="3"/>
  <c r="F63" i="1"/>
  <c r="F32" i="1"/>
  <c r="E11" i="3"/>
  <c r="E87" i="3"/>
  <c r="F44" i="1"/>
  <c r="F50" i="1"/>
  <c r="E24" i="3"/>
  <c r="F126" i="1"/>
  <c r="E72" i="3"/>
  <c r="F56" i="1"/>
  <c r="E92" i="3"/>
  <c r="E32" i="3"/>
  <c r="F62" i="1"/>
  <c r="G151" i="1"/>
  <c r="K151" i="1" s="1"/>
  <c r="F124" i="1"/>
  <c r="E70" i="3"/>
  <c r="P144" i="1"/>
  <c r="R144" i="1" s="1"/>
  <c r="F108" i="1"/>
  <c r="G108" i="1" s="1"/>
  <c r="K108" i="1" s="1"/>
  <c r="F59" i="1"/>
  <c r="E30" i="3"/>
  <c r="E75" i="3"/>
  <c r="F135" i="1"/>
  <c r="F122" i="1"/>
  <c r="E68" i="3"/>
  <c r="E39" i="3"/>
  <c r="F81" i="1"/>
  <c r="E35" i="3"/>
  <c r="F70" i="1"/>
  <c r="E44" i="3"/>
  <c r="F91" i="1"/>
  <c r="E45" i="3"/>
  <c r="F92" i="1"/>
  <c r="P92" i="1" s="1"/>
  <c r="F58" i="1"/>
  <c r="E29" i="3"/>
  <c r="F83" i="1"/>
  <c r="E106" i="3"/>
  <c r="E37" i="3"/>
  <c r="F72" i="1"/>
  <c r="E110" i="3"/>
  <c r="F95" i="1"/>
  <c r="E101" i="3"/>
  <c r="F76" i="1"/>
  <c r="F85" i="1"/>
  <c r="E40" i="3"/>
  <c r="E80" i="3"/>
  <c r="F26" i="1"/>
  <c r="E49" i="3"/>
  <c r="F97" i="1"/>
  <c r="F79" i="1"/>
  <c r="E38" i="3"/>
  <c r="F68" i="1"/>
  <c r="E34" i="3"/>
  <c r="E79" i="3"/>
  <c r="F25" i="1"/>
  <c r="E76" i="3"/>
  <c r="F21" i="1"/>
  <c r="F35" i="1"/>
  <c r="E14" i="3"/>
  <c r="E22" i="3"/>
  <c r="F48" i="1"/>
  <c r="E48" i="3"/>
  <c r="F96" i="1"/>
  <c r="P96" i="1" s="1"/>
  <c r="F71" i="1"/>
  <c r="E36" i="3"/>
  <c r="F82" i="1"/>
  <c r="E105" i="3"/>
  <c r="E111" i="3"/>
  <c r="F99" i="1"/>
  <c r="E13" i="3"/>
  <c r="F34" i="1"/>
  <c r="E84" i="3"/>
  <c r="F30" i="1"/>
  <c r="E112" i="3"/>
  <c r="F101" i="1"/>
  <c r="E18" i="3"/>
  <c r="F40" i="1"/>
  <c r="F111" i="1"/>
  <c r="E57" i="3"/>
  <c r="P120" i="1"/>
  <c r="R120" i="1" s="1"/>
  <c r="P108" i="1"/>
  <c r="R108" i="1" s="1"/>
  <c r="R154" i="1"/>
  <c r="M6" i="2"/>
  <c r="H40" i="2"/>
  <c r="G40" i="2"/>
  <c r="H33" i="2"/>
  <c r="H35" i="2"/>
  <c r="G35" i="2"/>
  <c r="J27" i="2"/>
  <c r="G18" i="2"/>
  <c r="J18" i="2"/>
  <c r="H18" i="2"/>
  <c r="G95" i="1" l="1"/>
  <c r="K95" i="1" s="1"/>
  <c r="P95" i="1"/>
  <c r="G71" i="1"/>
  <c r="J71" i="1" s="1"/>
  <c r="P71" i="1"/>
  <c r="R71" i="1" s="1"/>
  <c r="G122" i="1"/>
  <c r="K122" i="1" s="1"/>
  <c r="P122" i="1"/>
  <c r="R122" i="1" s="1"/>
  <c r="G124" i="1"/>
  <c r="K124" i="1" s="1"/>
  <c r="P124" i="1"/>
  <c r="R124" i="1" s="1"/>
  <c r="G116" i="1"/>
  <c r="J116" i="1" s="1"/>
  <c r="P116" i="1"/>
  <c r="G42" i="1"/>
  <c r="I42" i="1" s="1"/>
  <c r="P42" i="1"/>
  <c r="G33" i="1"/>
  <c r="I33" i="1" s="1"/>
  <c r="P33" i="1"/>
  <c r="G21" i="1"/>
  <c r="H21" i="1" s="1"/>
  <c r="P21" i="1"/>
  <c r="R21" i="1" s="1"/>
  <c r="G34" i="1"/>
  <c r="I34" i="1" s="1"/>
  <c r="P34" i="1"/>
  <c r="G25" i="1"/>
  <c r="H25" i="1" s="1"/>
  <c r="P25" i="1"/>
  <c r="R25" i="1" s="1"/>
  <c r="G26" i="1"/>
  <c r="H26" i="1" s="1"/>
  <c r="P26" i="1"/>
  <c r="R26" i="1" s="1"/>
  <c r="G72" i="1"/>
  <c r="J72" i="1" s="1"/>
  <c r="P72" i="1"/>
  <c r="R72" i="1" s="1"/>
  <c r="G91" i="1"/>
  <c r="J91" i="1" s="1"/>
  <c r="P91" i="1"/>
  <c r="G135" i="1"/>
  <c r="J135" i="1" s="1"/>
  <c r="P135" i="1"/>
  <c r="R135" i="1" s="1"/>
  <c r="G50" i="1"/>
  <c r="I50" i="1" s="1"/>
  <c r="P50" i="1"/>
  <c r="G51" i="1"/>
  <c r="I51" i="1" s="1"/>
  <c r="P51" i="1"/>
  <c r="G49" i="1"/>
  <c r="I49" i="1" s="1"/>
  <c r="P49" i="1"/>
  <c r="G87" i="1"/>
  <c r="K87" i="1" s="1"/>
  <c r="P87" i="1"/>
  <c r="R87" i="1" s="1"/>
  <c r="G111" i="1"/>
  <c r="P111" i="1"/>
  <c r="R111" i="1" s="1"/>
  <c r="G62" i="1"/>
  <c r="I62" i="1" s="1"/>
  <c r="P62" i="1"/>
  <c r="R62" i="1" s="1"/>
  <c r="G44" i="1"/>
  <c r="I44" i="1" s="1"/>
  <c r="P44" i="1"/>
  <c r="G53" i="1"/>
  <c r="I53" i="1" s="1"/>
  <c r="P53" i="1"/>
  <c r="R53" i="1" s="1"/>
  <c r="G40" i="1"/>
  <c r="I40" i="1" s="1"/>
  <c r="P40" i="1"/>
  <c r="G99" i="1"/>
  <c r="K99" i="1" s="1"/>
  <c r="P99" i="1"/>
  <c r="R99" i="1" s="1"/>
  <c r="G48" i="1"/>
  <c r="I48" i="1" s="1"/>
  <c r="P48" i="1"/>
  <c r="G70" i="1"/>
  <c r="J70" i="1" s="1"/>
  <c r="P70" i="1"/>
  <c r="R70" i="1" s="1"/>
  <c r="U117" i="1"/>
  <c r="P117" i="1"/>
  <c r="R117" i="1" s="1"/>
  <c r="G68" i="1"/>
  <c r="J68" i="1" s="1"/>
  <c r="P68" i="1"/>
  <c r="R68" i="1" s="1"/>
  <c r="G85" i="1"/>
  <c r="K85" i="1" s="1"/>
  <c r="P85" i="1"/>
  <c r="G83" i="1"/>
  <c r="K83" i="1" s="1"/>
  <c r="P83" i="1"/>
  <c r="R83" i="1" s="1"/>
  <c r="G59" i="1"/>
  <c r="I59" i="1" s="1"/>
  <c r="P59" i="1"/>
  <c r="G57" i="1"/>
  <c r="I57" i="1" s="1"/>
  <c r="P57" i="1"/>
  <c r="G41" i="1"/>
  <c r="I41" i="1" s="1"/>
  <c r="P41" i="1"/>
  <c r="G43" i="1"/>
  <c r="I43" i="1" s="1"/>
  <c r="P43" i="1"/>
  <c r="G27" i="1"/>
  <c r="H27" i="1" s="1"/>
  <c r="P27" i="1"/>
  <c r="R27" i="1" s="1"/>
  <c r="G101" i="1"/>
  <c r="K101" i="1" s="1"/>
  <c r="P101" i="1"/>
  <c r="R101" i="1" s="1"/>
  <c r="G76" i="1"/>
  <c r="J76" i="1" s="1"/>
  <c r="P76" i="1"/>
  <c r="G81" i="1"/>
  <c r="J81" i="1" s="1"/>
  <c r="P81" i="1"/>
  <c r="R81" i="1" s="1"/>
  <c r="G56" i="1"/>
  <c r="I56" i="1" s="1"/>
  <c r="P56" i="1"/>
  <c r="R56" i="1" s="1"/>
  <c r="G32" i="1"/>
  <c r="I32" i="1" s="1"/>
  <c r="P32" i="1"/>
  <c r="G30" i="1"/>
  <c r="H30" i="1" s="1"/>
  <c r="P30" i="1"/>
  <c r="G97" i="1"/>
  <c r="K97" i="1" s="1"/>
  <c r="P97" i="1"/>
  <c r="R97" i="1" s="1"/>
  <c r="G126" i="1"/>
  <c r="K126" i="1" s="1"/>
  <c r="P126" i="1"/>
  <c r="R126" i="1" s="1"/>
  <c r="U82" i="1"/>
  <c r="P82" i="1"/>
  <c r="R82" i="1" s="1"/>
  <c r="G35" i="1"/>
  <c r="I35" i="1" s="1"/>
  <c r="P35" i="1"/>
  <c r="G79" i="1"/>
  <c r="J79" i="1" s="1"/>
  <c r="P79" i="1"/>
  <c r="R79" i="1" s="1"/>
  <c r="G58" i="1"/>
  <c r="I58" i="1" s="1"/>
  <c r="P58" i="1"/>
  <c r="G63" i="1"/>
  <c r="I63" i="1" s="1"/>
  <c r="P63" i="1"/>
  <c r="R63" i="1" s="1"/>
  <c r="G114" i="1"/>
  <c r="K114" i="1" s="1"/>
  <c r="P114" i="1"/>
  <c r="G104" i="1"/>
  <c r="J104" i="1" s="1"/>
  <c r="P104" i="1"/>
  <c r="R104" i="1" s="1"/>
  <c r="R151" i="1"/>
  <c r="M4" i="2"/>
  <c r="M2" i="2"/>
  <c r="M1" i="2"/>
  <c r="M5" i="2"/>
  <c r="M3" i="2"/>
  <c r="C11" i="1"/>
  <c r="C12" i="1"/>
  <c r="C16" i="1" l="1"/>
  <c r="D18" i="1" s="1"/>
  <c r="O154" i="1"/>
  <c r="O93" i="1"/>
  <c r="O116" i="1"/>
  <c r="O102" i="1"/>
  <c r="O119" i="1"/>
  <c r="O140" i="1"/>
  <c r="O145" i="1"/>
  <c r="O146" i="1"/>
  <c r="O98" i="1"/>
  <c r="O108" i="1"/>
  <c r="O94" i="1"/>
  <c r="O124" i="1"/>
  <c r="O153" i="1"/>
  <c r="O131" i="1"/>
  <c r="O134" i="1"/>
  <c r="O106" i="1"/>
  <c r="O135" i="1"/>
  <c r="O104" i="1"/>
  <c r="O113" i="1"/>
  <c r="O112" i="1"/>
  <c r="O125" i="1"/>
  <c r="O141" i="1"/>
  <c r="O151" i="1"/>
  <c r="O114" i="1"/>
  <c r="O105" i="1"/>
  <c r="O136" i="1"/>
  <c r="O126" i="1"/>
  <c r="O152" i="1"/>
  <c r="O99" i="1"/>
  <c r="O100" i="1"/>
  <c r="O110" i="1"/>
  <c r="O95" i="1"/>
  <c r="O130" i="1"/>
  <c r="O142" i="1"/>
  <c r="O120" i="1"/>
  <c r="O127" i="1"/>
  <c r="O139" i="1"/>
  <c r="O147" i="1"/>
  <c r="O92" i="1"/>
  <c r="O122" i="1"/>
  <c r="O129" i="1"/>
  <c r="O103" i="1"/>
  <c r="O132" i="1"/>
  <c r="O111" i="1"/>
  <c r="O117" i="1"/>
  <c r="O144" i="1"/>
  <c r="O148" i="1"/>
  <c r="O128" i="1"/>
  <c r="O101" i="1"/>
  <c r="O143" i="1"/>
  <c r="O123" i="1"/>
  <c r="O149" i="1"/>
  <c r="O96" i="1"/>
  <c r="O118" i="1"/>
  <c r="O109" i="1"/>
  <c r="O150" i="1"/>
  <c r="O97" i="1"/>
  <c r="O121" i="1"/>
  <c r="O133" i="1"/>
  <c r="O138" i="1"/>
  <c r="O91" i="1"/>
  <c r="O115" i="1"/>
  <c r="O137" i="1"/>
  <c r="O107" i="1"/>
  <c r="C15" i="1"/>
  <c r="K111" i="1"/>
  <c r="R114" i="1"/>
  <c r="R30" i="1"/>
  <c r="F16" i="1" s="1"/>
  <c r="R76" i="1"/>
  <c r="R41" i="1"/>
  <c r="R85" i="1"/>
  <c r="R44" i="1"/>
  <c r="R91" i="1"/>
  <c r="R116" i="1"/>
  <c r="R95" i="1"/>
  <c r="O109" i="2"/>
  <c r="O28" i="2"/>
  <c r="O37" i="2"/>
  <c r="O45" i="2"/>
  <c r="O24" i="2"/>
  <c r="O52" i="2"/>
  <c r="O90" i="2"/>
  <c r="O99" i="2"/>
  <c r="O121" i="2"/>
  <c r="O59" i="2"/>
  <c r="O107" i="2"/>
  <c r="O92" i="2"/>
  <c r="O61" i="2"/>
  <c r="O43" i="2"/>
  <c r="O83" i="2"/>
  <c r="O60" i="2"/>
  <c r="O115" i="2"/>
  <c r="O73" i="2"/>
  <c r="O26" i="2"/>
  <c r="O96" i="2"/>
  <c r="O56" i="2"/>
  <c r="O47" i="2"/>
  <c r="O98" i="2"/>
  <c r="O93" i="2"/>
  <c r="O35" i="2"/>
  <c r="O67" i="2"/>
  <c r="O102" i="2"/>
  <c r="O123" i="2"/>
  <c r="O80" i="2"/>
  <c r="O66" i="2"/>
  <c r="O113" i="2"/>
  <c r="O101" i="2"/>
  <c r="O78" i="2"/>
  <c r="O111" i="2"/>
  <c r="O51" i="2"/>
  <c r="O40" i="2"/>
  <c r="O117" i="2"/>
  <c r="O62" i="2"/>
  <c r="O122" i="2"/>
  <c r="O23" i="2"/>
  <c r="O57" i="2"/>
  <c r="O79" i="2"/>
  <c r="O30" i="2"/>
  <c r="O100" i="2"/>
  <c r="O63" i="2"/>
  <c r="O104" i="2"/>
  <c r="O68" i="2"/>
  <c r="O105" i="2"/>
  <c r="O81" i="2"/>
  <c r="O42" i="2"/>
  <c r="O108" i="2"/>
  <c r="O55" i="2"/>
  <c r="O21" i="2"/>
  <c r="O89" i="2"/>
  <c r="O50" i="2"/>
  <c r="O53" i="2"/>
  <c r="O87" i="2"/>
  <c r="O86" i="2"/>
  <c r="O103" i="2"/>
  <c r="O54" i="2"/>
  <c r="O120" i="2"/>
  <c r="O97" i="2"/>
  <c r="O64" i="2"/>
  <c r="O82" i="2"/>
  <c r="O77" i="2"/>
  <c r="O75" i="2"/>
  <c r="O76" i="2"/>
  <c r="O22" i="2"/>
  <c r="O58" i="2"/>
  <c r="O112" i="2"/>
  <c r="O72" i="2"/>
  <c r="O114" i="2"/>
  <c r="O49" i="2"/>
  <c r="O84" i="2"/>
  <c r="O70" i="2"/>
  <c r="O25" i="2"/>
  <c r="O33" i="2"/>
  <c r="O29" i="2"/>
  <c r="O118" i="2"/>
  <c r="O48" i="2"/>
  <c r="O36" i="2"/>
  <c r="O69" i="2"/>
  <c r="O38" i="2"/>
  <c r="O65" i="2"/>
  <c r="O91" i="2"/>
  <c r="O31" i="2"/>
  <c r="O46" i="2"/>
  <c r="O41" i="2"/>
  <c r="O94" i="2"/>
  <c r="O34" i="2"/>
  <c r="O106" i="2"/>
  <c r="O88" i="2"/>
  <c r="O116" i="2"/>
  <c r="O71" i="2"/>
  <c r="O110" i="2"/>
  <c r="O27" i="2"/>
  <c r="O85" i="2"/>
  <c r="O74" i="2"/>
  <c r="O44" i="2"/>
  <c r="O95" i="2"/>
  <c r="O119" i="2"/>
  <c r="O39" i="2"/>
  <c r="O32" i="2"/>
  <c r="M117" i="2"/>
  <c r="M100" i="2"/>
  <c r="M123" i="2"/>
  <c r="M94" i="2"/>
  <c r="M75" i="2"/>
  <c r="M59" i="2"/>
  <c r="M77" i="2"/>
  <c r="M21" i="2"/>
  <c r="M43" i="2"/>
  <c r="M39" i="2"/>
  <c r="M121" i="2"/>
  <c r="M116" i="2"/>
  <c r="M68" i="2"/>
  <c r="M87" i="2"/>
  <c r="M52" i="2"/>
  <c r="M93" i="2"/>
  <c r="M81" i="2"/>
  <c r="M33" i="2"/>
  <c r="M82" i="2"/>
  <c r="M44" i="2"/>
  <c r="M76" i="2"/>
  <c r="M57" i="2"/>
  <c r="M80" i="2"/>
  <c r="M55" i="2"/>
  <c r="M60" i="2"/>
  <c r="M58" i="2"/>
  <c r="M90" i="2"/>
  <c r="M49" i="2"/>
  <c r="M119" i="2"/>
  <c r="M107" i="2"/>
  <c r="M48" i="2"/>
  <c r="M28" i="2"/>
  <c r="M64" i="2"/>
  <c r="M88" i="2"/>
  <c r="M109" i="2"/>
  <c r="M27" i="2"/>
  <c r="M111" i="2"/>
  <c r="M95" i="2"/>
  <c r="M24" i="2"/>
  <c r="M25" i="2"/>
  <c r="M29" i="2"/>
  <c r="M22" i="2"/>
  <c r="M71" i="2"/>
  <c r="M86" i="2"/>
  <c r="M108" i="2"/>
  <c r="M84" i="2"/>
  <c r="M102" i="2"/>
  <c r="M38" i="2"/>
  <c r="M72" i="2"/>
  <c r="M73" i="2"/>
  <c r="M114" i="2"/>
  <c r="M89" i="2"/>
  <c r="M78" i="2"/>
  <c r="M104" i="2"/>
  <c r="M110" i="2"/>
  <c r="M23" i="2"/>
  <c r="M101" i="2"/>
  <c r="M37" i="2"/>
  <c r="M54" i="2"/>
  <c r="M66" i="2"/>
  <c r="M7" i="2"/>
  <c r="E4" i="2" s="1"/>
  <c r="M120" i="2"/>
  <c r="M113" i="2"/>
  <c r="M99" i="2"/>
  <c r="M34" i="2"/>
  <c r="M74" i="2"/>
  <c r="M91" i="2"/>
  <c r="M112" i="2"/>
  <c r="M83" i="2"/>
  <c r="M106" i="2"/>
  <c r="M85" i="2"/>
  <c r="M42" i="2"/>
  <c r="M30" i="2"/>
  <c r="M118" i="2"/>
  <c r="M46" i="2"/>
  <c r="M35" i="2"/>
  <c r="M65" i="2"/>
  <c r="M40" i="2"/>
  <c r="M96" i="2"/>
  <c r="M41" i="2"/>
  <c r="M67" i="2"/>
  <c r="M103" i="2"/>
  <c r="M50" i="2"/>
  <c r="M32" i="2"/>
  <c r="M31" i="2"/>
  <c r="M62" i="2"/>
  <c r="M36" i="2"/>
  <c r="M97" i="2"/>
  <c r="M56" i="2"/>
  <c r="M61" i="2"/>
  <c r="M79" i="2"/>
  <c r="M122" i="2"/>
  <c r="M69" i="2"/>
  <c r="M53" i="2"/>
  <c r="M92" i="2"/>
  <c r="M45" i="2"/>
  <c r="M98" i="2"/>
  <c r="M105" i="2"/>
  <c r="M26" i="2"/>
  <c r="M51" i="2"/>
  <c r="M70" i="2"/>
  <c r="M115" i="2"/>
  <c r="M63" i="2"/>
  <c r="M47" i="2"/>
  <c r="N100" i="2"/>
  <c r="N43" i="2"/>
  <c r="N123" i="2"/>
  <c r="N49" i="2"/>
  <c r="N91" i="2"/>
  <c r="N76" i="2"/>
  <c r="N95" i="2"/>
  <c r="N38" i="2"/>
  <c r="N85" i="2"/>
  <c r="N37" i="2"/>
  <c r="N119" i="2"/>
  <c r="N74" i="2"/>
  <c r="N40" i="2"/>
  <c r="N71" i="2"/>
  <c r="N66" i="2"/>
  <c r="N79" i="2"/>
  <c r="N83" i="2"/>
  <c r="N77" i="2"/>
  <c r="N51" i="2"/>
  <c r="N57" i="2"/>
  <c r="N105" i="2"/>
  <c r="N113" i="2"/>
  <c r="N118" i="2"/>
  <c r="N46" i="2"/>
  <c r="N116" i="2"/>
  <c r="N73" i="2"/>
  <c r="N69" i="2"/>
  <c r="N64" i="2"/>
  <c r="N41" i="2"/>
  <c r="N35" i="2"/>
  <c r="N61" i="2"/>
  <c r="N45" i="2"/>
  <c r="N104" i="2"/>
  <c r="N62" i="2"/>
  <c r="N93" i="2"/>
  <c r="N63" i="2"/>
  <c r="N108" i="2"/>
  <c r="N31" i="2"/>
  <c r="N99" i="2"/>
  <c r="N121" i="2"/>
  <c r="N88" i="2"/>
  <c r="N59" i="2"/>
  <c r="N115" i="2"/>
  <c r="N25" i="2"/>
  <c r="N26" i="2"/>
  <c r="N109" i="2"/>
  <c r="N122" i="2"/>
  <c r="N47" i="2"/>
  <c r="N22" i="2"/>
  <c r="N86" i="2"/>
  <c r="N50" i="2"/>
  <c r="N101" i="2"/>
  <c r="N94" i="2"/>
  <c r="N29" i="2"/>
  <c r="N84" i="2"/>
  <c r="N21" i="2"/>
  <c r="N48" i="2"/>
  <c r="N106" i="2"/>
  <c r="N68" i="2"/>
  <c r="N98" i="2"/>
  <c r="N120" i="2"/>
  <c r="N111" i="2"/>
  <c r="N112" i="2"/>
  <c r="N92" i="2"/>
  <c r="N102" i="2"/>
  <c r="N52" i="2"/>
  <c r="N58" i="2"/>
  <c r="N53" i="2"/>
  <c r="N117" i="2"/>
  <c r="N34" i="2"/>
  <c r="N54" i="2"/>
  <c r="N42" i="2"/>
  <c r="N75" i="2"/>
  <c r="N60" i="2"/>
  <c r="N90" i="2"/>
  <c r="N30" i="2"/>
  <c r="N89" i="2"/>
  <c r="N32" i="2"/>
  <c r="N27" i="2"/>
  <c r="N114" i="2"/>
  <c r="N55" i="2"/>
  <c r="N24" i="2"/>
  <c r="N110" i="2"/>
  <c r="N80" i="2"/>
  <c r="N87" i="2"/>
  <c r="N81" i="2"/>
  <c r="N36" i="2"/>
  <c r="N44" i="2"/>
  <c r="N103" i="2"/>
  <c r="N65" i="2"/>
  <c r="N67" i="2"/>
  <c r="N72" i="2"/>
  <c r="N33" i="2"/>
  <c r="N23" i="2"/>
  <c r="N97" i="2"/>
  <c r="N39" i="2"/>
  <c r="N78" i="2"/>
  <c r="N82" i="2"/>
  <c r="N28" i="2"/>
  <c r="N107" i="2"/>
  <c r="N70" i="2"/>
  <c r="N96" i="2"/>
  <c r="N56" i="2"/>
  <c r="N18" i="2"/>
  <c r="O18" i="2"/>
  <c r="M18" i="2"/>
  <c r="C18" i="1" l="1"/>
  <c r="F18" i="1"/>
  <c r="F19" i="1" s="1"/>
  <c r="E6" i="2"/>
  <c r="E9" i="2" s="1"/>
  <c r="E5" i="2"/>
  <c r="K47" i="2" l="1"/>
  <c r="L47" i="2" s="1"/>
  <c r="K58" i="2"/>
  <c r="P58" i="2" s="1"/>
  <c r="K114" i="2"/>
  <c r="L114" i="2" s="1"/>
  <c r="K104" i="2"/>
  <c r="L104" i="2" s="1"/>
  <c r="K32" i="2"/>
  <c r="L32" i="2" s="1"/>
  <c r="K84" i="2"/>
  <c r="L84" i="2" s="1"/>
  <c r="K72" i="2"/>
  <c r="P72" i="2" s="1"/>
  <c r="K82" i="2"/>
  <c r="L82" i="2" s="1"/>
  <c r="K116" i="2"/>
  <c r="L116" i="2" s="1"/>
  <c r="K66" i="2"/>
  <c r="P66" i="2" s="1"/>
  <c r="K78" i="2"/>
  <c r="P78" i="2" s="1"/>
  <c r="K81" i="2"/>
  <c r="P81" i="2" s="1"/>
  <c r="K112" i="2"/>
  <c r="P112" i="2" s="1"/>
  <c r="K51" i="2"/>
  <c r="P51" i="2" s="1"/>
  <c r="K123" i="2"/>
  <c r="L123" i="2" s="1"/>
  <c r="K120" i="2"/>
  <c r="L120" i="2" s="1"/>
  <c r="K117" i="2"/>
  <c r="L117" i="2" s="1"/>
  <c r="K74" i="2"/>
  <c r="L74" i="2" s="1"/>
  <c r="K26" i="2"/>
  <c r="L26" i="2" s="1"/>
  <c r="K85" i="2"/>
  <c r="L85" i="2" s="1"/>
  <c r="K29" i="2"/>
  <c r="P29" i="2" s="1"/>
  <c r="K121" i="2"/>
  <c r="L121" i="2" s="1"/>
  <c r="K41" i="2"/>
  <c r="L41" i="2" s="1"/>
  <c r="K25" i="2"/>
  <c r="L25" i="2" s="1"/>
  <c r="K107" i="2"/>
  <c r="L107" i="2" s="1"/>
  <c r="K75" i="2"/>
  <c r="L75" i="2" s="1"/>
  <c r="K46" i="2"/>
  <c r="L46" i="2" s="1"/>
  <c r="K91" i="2"/>
  <c r="P91" i="2" s="1"/>
  <c r="K56" i="2"/>
  <c r="P56" i="2" s="1"/>
  <c r="K35" i="2"/>
  <c r="P35" i="2" s="1"/>
  <c r="K106" i="2"/>
  <c r="L106" i="2" s="1"/>
  <c r="K119" i="2"/>
  <c r="P119" i="2" s="1"/>
  <c r="K98" i="2"/>
  <c r="L98" i="2" s="1"/>
  <c r="K109" i="2"/>
  <c r="L109" i="2" s="1"/>
  <c r="P114" i="2"/>
  <c r="K102" i="2"/>
  <c r="K90" i="2"/>
  <c r="K43" i="2"/>
  <c r="K57" i="2"/>
  <c r="K30" i="2"/>
  <c r="K52" i="2"/>
  <c r="K33" i="2"/>
  <c r="K55" i="2"/>
  <c r="K79" i="2"/>
  <c r="K83" i="2"/>
  <c r="K31" i="2"/>
  <c r="K48" i="2"/>
  <c r="K97" i="2"/>
  <c r="K38" i="2"/>
  <c r="K60" i="2"/>
  <c r="K40" i="2"/>
  <c r="K49" i="2"/>
  <c r="K80" i="2"/>
  <c r="K108" i="2"/>
  <c r="K87" i="2"/>
  <c r="K110" i="2"/>
  <c r="K95" i="2"/>
  <c r="K76" i="2"/>
  <c r="K50" i="2"/>
  <c r="K111" i="2"/>
  <c r="K37" i="2"/>
  <c r="K105" i="2"/>
  <c r="K86" i="2"/>
  <c r="K42" i="2"/>
  <c r="K94" i="2"/>
  <c r="K61" i="2"/>
  <c r="K69" i="2"/>
  <c r="K118" i="2"/>
  <c r="K113" i="2"/>
  <c r="K45" i="2"/>
  <c r="K93" i="2"/>
  <c r="K96" i="2"/>
  <c r="K65" i="2"/>
  <c r="K103" i="2"/>
  <c r="K67" i="2"/>
  <c r="K23" i="2"/>
  <c r="K99" i="2"/>
  <c r="K73" i="2"/>
  <c r="K115" i="2"/>
  <c r="K59" i="2"/>
  <c r="K39" i="2"/>
  <c r="K28" i="2"/>
  <c r="K22" i="2"/>
  <c r="K88" i="2"/>
  <c r="K44" i="2"/>
  <c r="K62" i="2"/>
  <c r="K122" i="2"/>
  <c r="K54" i="2"/>
  <c r="K71" i="2"/>
  <c r="K100" i="2"/>
  <c r="K36" i="2"/>
  <c r="K21" i="2"/>
  <c r="K101" i="2"/>
  <c r="K89" i="2"/>
  <c r="K27" i="2"/>
  <c r="K63" i="2"/>
  <c r="K34" i="2"/>
  <c r="K68" i="2"/>
  <c r="K64" i="2"/>
  <c r="K53" i="2"/>
  <c r="K70" i="2"/>
  <c r="K77" i="2"/>
  <c r="K92" i="2"/>
  <c r="K24" i="2"/>
  <c r="L72" i="2" l="1"/>
  <c r="L58" i="2"/>
  <c r="P32" i="2"/>
  <c r="P104" i="2"/>
  <c r="L112" i="2"/>
  <c r="P84" i="2"/>
  <c r="L56" i="2"/>
  <c r="L51" i="2"/>
  <c r="L66" i="2"/>
  <c r="P123" i="2"/>
  <c r="P109" i="2"/>
  <c r="P121" i="2"/>
  <c r="L78" i="2"/>
  <c r="P41" i="2"/>
  <c r="P117" i="2"/>
  <c r="P116" i="2"/>
  <c r="P47" i="2"/>
  <c r="L35" i="2"/>
  <c r="P25" i="2"/>
  <c r="P82" i="2"/>
  <c r="P106" i="2"/>
  <c r="P98" i="2"/>
  <c r="P107" i="2"/>
  <c r="L81" i="2"/>
  <c r="L119" i="2"/>
  <c r="P85" i="2"/>
  <c r="P120" i="2"/>
  <c r="P46" i="2"/>
  <c r="P74" i="2"/>
  <c r="L29" i="2"/>
  <c r="L91" i="2"/>
  <c r="P26" i="2"/>
  <c r="P75" i="2"/>
  <c r="L100" i="2"/>
  <c r="P100" i="2"/>
  <c r="P118" i="2"/>
  <c r="L118" i="2"/>
  <c r="L43" i="2"/>
  <c r="P43" i="2"/>
  <c r="L92" i="2"/>
  <c r="P92" i="2"/>
  <c r="L27" i="2"/>
  <c r="P27" i="2"/>
  <c r="P71" i="2"/>
  <c r="L71" i="2"/>
  <c r="L39" i="2"/>
  <c r="P39" i="2"/>
  <c r="L67" i="2"/>
  <c r="P67" i="2"/>
  <c r="L37" i="2"/>
  <c r="P37" i="2"/>
  <c r="P38" i="2"/>
  <c r="L38" i="2"/>
  <c r="P90" i="2"/>
  <c r="L90" i="2"/>
  <c r="L23" i="2"/>
  <c r="P23" i="2"/>
  <c r="P60" i="2"/>
  <c r="L60" i="2"/>
  <c r="P77" i="2"/>
  <c r="L77" i="2"/>
  <c r="P89" i="2"/>
  <c r="L89" i="2"/>
  <c r="L54" i="2"/>
  <c r="P54" i="2"/>
  <c r="P103" i="2"/>
  <c r="L103" i="2"/>
  <c r="L111" i="2"/>
  <c r="P111" i="2"/>
  <c r="P97" i="2"/>
  <c r="L97" i="2"/>
  <c r="L102" i="2"/>
  <c r="P102" i="2"/>
  <c r="P28" i="2"/>
  <c r="L28" i="2"/>
  <c r="P105" i="2"/>
  <c r="L105" i="2"/>
  <c r="L70" i="2"/>
  <c r="P70" i="2"/>
  <c r="L101" i="2"/>
  <c r="P101" i="2"/>
  <c r="P122" i="2"/>
  <c r="L122" i="2"/>
  <c r="P65" i="2"/>
  <c r="L65" i="2"/>
  <c r="L69" i="2"/>
  <c r="P69" i="2"/>
  <c r="L50" i="2"/>
  <c r="P50" i="2"/>
  <c r="L87" i="2"/>
  <c r="P87" i="2"/>
  <c r="L48" i="2"/>
  <c r="P48" i="2"/>
  <c r="P55" i="2"/>
  <c r="L55" i="2"/>
  <c r="P24" i="2"/>
  <c r="L24" i="2"/>
  <c r="L96" i="2"/>
  <c r="P96" i="2"/>
  <c r="L108" i="2"/>
  <c r="P108" i="2"/>
  <c r="L44" i="2"/>
  <c r="P44" i="2"/>
  <c r="P115" i="2"/>
  <c r="L115" i="2"/>
  <c r="L93" i="2"/>
  <c r="P93" i="2"/>
  <c r="L94" i="2"/>
  <c r="P94" i="2"/>
  <c r="P95" i="2"/>
  <c r="L95" i="2"/>
  <c r="P80" i="2"/>
  <c r="L80" i="2"/>
  <c r="L83" i="2"/>
  <c r="P83" i="2"/>
  <c r="L52" i="2"/>
  <c r="P52" i="2"/>
  <c r="L63" i="2"/>
  <c r="P63" i="2"/>
  <c r="L62" i="2"/>
  <c r="P62" i="2"/>
  <c r="P61" i="2"/>
  <c r="L61" i="2"/>
  <c r="P33" i="2"/>
  <c r="L33" i="2"/>
  <c r="L21" i="2"/>
  <c r="P21" i="2"/>
  <c r="L45" i="2"/>
  <c r="P45" i="2"/>
  <c r="L110" i="2"/>
  <c r="P110" i="2"/>
  <c r="P49" i="2"/>
  <c r="L49" i="2"/>
  <c r="L79" i="2"/>
  <c r="P79" i="2"/>
  <c r="P30" i="2"/>
  <c r="L30" i="2"/>
  <c r="L53" i="2"/>
  <c r="P53" i="2"/>
  <c r="L59" i="2"/>
  <c r="P59" i="2"/>
  <c r="P76" i="2"/>
  <c r="L76" i="2"/>
  <c r="L31" i="2"/>
  <c r="P31" i="2"/>
  <c r="P64" i="2"/>
  <c r="L64" i="2"/>
  <c r="L68" i="2"/>
  <c r="P68" i="2"/>
  <c r="P88" i="2"/>
  <c r="L88" i="2"/>
  <c r="P73" i="2"/>
  <c r="L73" i="2"/>
  <c r="P42" i="2"/>
  <c r="L42" i="2"/>
  <c r="P34" i="2"/>
  <c r="L34" i="2"/>
  <c r="P36" i="2"/>
  <c r="L36" i="2"/>
  <c r="L22" i="2"/>
  <c r="P22" i="2"/>
  <c r="P99" i="2"/>
  <c r="L99" i="2"/>
  <c r="L113" i="2"/>
  <c r="P113" i="2"/>
  <c r="P86" i="2"/>
  <c r="L86" i="2"/>
  <c r="P40" i="2"/>
  <c r="L40" i="2"/>
  <c r="P57" i="2"/>
  <c r="L57" i="2"/>
  <c r="L18" i="2"/>
  <c r="E7" i="2" l="1"/>
  <c r="F4" i="2" l="1"/>
  <c r="H4" i="2" s="1"/>
  <c r="F6" i="2"/>
  <c r="H6" i="2" s="1"/>
  <c r="F9" i="2" s="1"/>
  <c r="F5" i="2"/>
  <c r="H5" i="2" s="1"/>
  <c r="F8" i="2"/>
  <c r="G9" i="2"/>
</calcChain>
</file>

<file path=xl/sharedStrings.xml><?xml version="1.0" encoding="utf-8"?>
<sst xmlns="http://schemas.openxmlformats.org/spreadsheetml/2006/main" count="1265" uniqueCount="636">
  <si>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</si>
  <si>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</si>
  <si>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</si>
  <si>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</si>
  <si>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</si>
  <si>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</si>
  <si>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</si>
  <si>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</si>
  <si>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</si>
  <si>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</si>
  <si>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</si>
  <si>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</si>
  <si>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</si>
  <si>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</si>
  <si>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</si>
  <si>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</si>
  <si>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</si>
  <si>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</si>
  <si>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</si>
  <si>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</si>
  <si>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</si>
  <si>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</si>
  <si>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</si>
  <si>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</si>
  <si>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</si>
  <si>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</si>
  <si>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</si>
  <si>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</si>
  <si>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pg</t>
  </si>
  <si>
    <t>MVS 7</t>
  </si>
  <si>
    <t>v</t>
  </si>
  <si>
    <t>Peter H</t>
  </si>
  <si>
    <t>BBSAG Bull.</t>
  </si>
  <si>
    <t>B</t>
  </si>
  <si>
    <t>Locher K</t>
  </si>
  <si>
    <t>BBSAG Bull.28</t>
  </si>
  <si>
    <t>AN 301</t>
  </si>
  <si>
    <t>BRNO 23</t>
  </si>
  <si>
    <t>K</t>
  </si>
  <si>
    <t>BRNO 26</t>
  </si>
  <si>
    <t>BRNO 27</t>
  </si>
  <si>
    <t>BAAVSS 64</t>
  </si>
  <si>
    <t>Paschke A</t>
  </si>
  <si>
    <t>BBSAG Bull.80</t>
  </si>
  <si>
    <t>BAV-M 52</t>
  </si>
  <si>
    <t>BAV-M 56</t>
  </si>
  <si>
    <t>BRNO 31</t>
  </si>
  <si>
    <t>phe</t>
  </si>
  <si>
    <t>BBSAG Bull.110</t>
  </si>
  <si>
    <t>IBVS 4383</t>
  </si>
  <si>
    <t>Blaettler E</t>
  </si>
  <si>
    <t>BBSAG Bull.112</t>
  </si>
  <si>
    <t>ccd</t>
  </si>
  <si>
    <t>Diethelm R</t>
  </si>
  <si>
    <t>BBSAG Bull.117</t>
  </si>
  <si>
    <t>Misc</t>
  </si>
  <si>
    <t>IBVS 5263</t>
  </si>
  <si>
    <t>I</t>
  </si>
  <si>
    <t>IBVS 4888</t>
  </si>
  <si>
    <t>EA/SD</t>
  </si>
  <si>
    <t>IBVS 5603</t>
  </si>
  <si>
    <t>IBVS 5643</t>
  </si>
  <si>
    <t>IBVS 5602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</si>
  <si>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</si>
  <si>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</si>
  <si>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</si>
  <si>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</si>
  <si>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</si>
  <si>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</si>
  <si>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</si>
  <si>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</si>
  <si>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</si>
  <si>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</si>
  <si>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5843</t>
  </si>
  <si>
    <t>II</t>
  </si>
  <si>
    <t>IBVS 5870</t>
  </si>
  <si>
    <t>IBVS 5893</t>
  </si>
  <si>
    <t>OEJV 0074</t>
  </si>
  <si>
    <t>OEJV 0107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</si>
  <si>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</si>
  <si>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</si>
  <si>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</si>
  <si>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</si>
  <si>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</si>
  <si>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</si>
  <si>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</si>
  <si>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</si>
  <si>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</si>
  <si>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</si>
  <si>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</si>
  <si>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</si>
  <si>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</si>
  <si>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</si>
  <si>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</si>
  <si>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</si>
  <si>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</si>
  <si>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</si>
  <si>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</si>
  <si>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</si>
  <si>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</si>
  <si>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</si>
  <si>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</si>
  <si>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</si>
  <si>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</si>
  <si>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</si>
  <si>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</si>
  <si>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</si>
  <si>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</si>
  <si>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</si>
  <si>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</si>
  <si>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</si>
  <si>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</si>
  <si>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</si>
  <si>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</si>
  <si>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</si>
  <si>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</si>
  <si>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</si>
  <si>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</si>
  <si>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</si>
  <si>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</si>
  <si>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</si>
  <si>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</si>
  <si>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</si>
  <si>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</si>
  <si>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</si>
  <si>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</si>
  <si>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</si>
  <si>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</si>
  <si>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</si>
  <si>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</si>
  <si>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</si>
  <si>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</si>
  <si>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</si>
  <si>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</si>
  <si>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</si>
  <si>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</si>
  <si>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</si>
  <si>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</si>
  <si>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</si>
  <si>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</si>
  <si>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</si>
  <si>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</si>
  <si>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</si>
  <si>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</si>
  <si>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</si>
  <si>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</si>
  <si>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</si>
  <si>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</si>
  <si>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</si>
  <si>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</si>
  <si>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</si>
  <si>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</si>
  <si>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</si>
  <si>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</si>
  <si>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</si>
  <si>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</si>
  <si>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IBVS 5992</t>
  </si>
  <si>
    <t>IBVS 6010</t>
  </si>
  <si>
    <t>OEJV 0003</t>
  </si>
  <si>
    <t>JAVSO..39...94</t>
  </si>
  <si>
    <t>JAVSO..36..186</t>
  </si>
  <si>
    <t>JAVSO..39..177</t>
  </si>
  <si>
    <t>IBVS 6029</t>
  </si>
  <si>
    <t>OEJV 0160</t>
  </si>
  <si>
    <t>2013JAVSO..41..122</t>
  </si>
  <si>
    <t>IBVS 6149</t>
  </si>
  <si>
    <t>IBVS 6152</t>
  </si>
  <si>
    <t>VZ Leo / GSC 1403-0305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</si>
  <si>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</si>
  <si>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</si>
  <si>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</si>
  <si>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</si>
  <si>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</si>
  <si>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F </t>
  </si>
  <si>
    <t>2431150.15 </t>
  </si>
  <si>
    <t> 29.02.1944 15:36 </t>
  </si>
  <si>
    <t> 0.00 </t>
  </si>
  <si>
    <t>V </t>
  </si>
  <si>
    <t> W.Zessewitsch </t>
  </si>
  <si>
    <t> IODE 4.2.171 </t>
  </si>
  <si>
    <t>2431162.13 </t>
  </si>
  <si>
    <t> 12.03.1944 15:07 </t>
  </si>
  <si>
    <t> -0.01 </t>
  </si>
  <si>
    <t>2431164.314 </t>
  </si>
  <si>
    <t> 14.03.1944 19:32 </t>
  </si>
  <si>
    <t> -0.002 </t>
  </si>
  <si>
    <t>2431165.396 </t>
  </si>
  <si>
    <t> 15.03.1944 21:30 </t>
  </si>
  <si>
    <t> -0.010 </t>
  </si>
  <si>
    <t>2431186.14 </t>
  </si>
  <si>
    <t> 05.04.1944 15:21 </t>
  </si>
  <si>
    <t> 0.03 </t>
  </si>
  <si>
    <t>2431212.28 </t>
  </si>
  <si>
    <t> 01.05.1944 18:43 </t>
  </si>
  <si>
    <t> 0.01 </t>
  </si>
  <si>
    <t>2431224.22 </t>
  </si>
  <si>
    <t> 13.05.1944 17:16 </t>
  </si>
  <si>
    <t> -0.04 </t>
  </si>
  <si>
    <t>2431235.18 </t>
  </si>
  <si>
    <t> 24.05.1944 16:19 </t>
  </si>
  <si>
    <t> 0.02 </t>
  </si>
  <si>
    <t>2431236.25 </t>
  </si>
  <si>
    <t> 25.05.1944 18:00 </t>
  </si>
  <si>
    <t>2442816.475 </t>
  </si>
  <si>
    <t> 07.02.1976 23:24 </t>
  </si>
  <si>
    <t> 1.609 </t>
  </si>
  <si>
    <t> M.Dietrich </t>
  </si>
  <si>
    <t> MVS 7.151 </t>
  </si>
  <si>
    <t>2442839.368 </t>
  </si>
  <si>
    <t> 01.03.1976 20:49 </t>
  </si>
  <si>
    <t> 1.614 </t>
  </si>
  <si>
    <t>2442887.346 </t>
  </si>
  <si>
    <t> 18.04.1976 20:18 </t>
  </si>
  <si>
    <t> 1.636 </t>
  </si>
  <si>
    <t> H.Peter </t>
  </si>
  <si>
    <t> BBS 27 </t>
  </si>
  <si>
    <t>2442899.336 </t>
  </si>
  <si>
    <t> 30.04.1976 20:03 </t>
  </si>
  <si>
    <t> 1.637 </t>
  </si>
  <si>
    <t> K.Locher </t>
  </si>
  <si>
    <t>2442899.349 </t>
  </si>
  <si>
    <t> 30.04.1976 20:22 </t>
  </si>
  <si>
    <t> 1.650 </t>
  </si>
  <si>
    <t>2442900.442 </t>
  </si>
  <si>
    <t> 01.05.1976 22:36 </t>
  </si>
  <si>
    <t> 1.653 </t>
  </si>
  <si>
    <t> BBS 28 </t>
  </si>
  <si>
    <t>2443143.471 </t>
  </si>
  <si>
    <t> 30.12.1976 23:18 </t>
  </si>
  <si>
    <t> 1.633 </t>
  </si>
  <si>
    <t> BBS 31 </t>
  </si>
  <si>
    <t>2443227.407 </t>
  </si>
  <si>
    <t> 24.03.1977 21:46 </t>
  </si>
  <si>
    <t> 1.646 </t>
  </si>
  <si>
    <t> M.Winiarski </t>
  </si>
  <si>
    <t> AN 301.327 </t>
  </si>
  <si>
    <t>2443239.386 </t>
  </si>
  <si>
    <t> 05.04.1977 21:15 </t>
  </si>
  <si>
    <t> BBS 33 </t>
  </si>
  <si>
    <t>2444286.773 </t>
  </si>
  <si>
    <t> 17.02.1980 06:33 </t>
  </si>
  <si>
    <t> 1.624 </t>
  </si>
  <si>
    <t> G.Hanson </t>
  </si>
  <si>
    <t> AOEB 8 </t>
  </si>
  <si>
    <t>2444481.883 </t>
  </si>
  <si>
    <t> 30.08.1980 09:11 </t>
  </si>
  <si>
    <t> 1.640 </t>
  </si>
  <si>
    <t> J.Silhan </t>
  </si>
  <si>
    <t> BRNO 23 </t>
  </si>
  <si>
    <t>2444633.371 </t>
  </si>
  <si>
    <t> 28.01.1981 20:54 </t>
  </si>
  <si>
    <t> 1.632 </t>
  </si>
  <si>
    <t> BRNO 26 </t>
  </si>
  <si>
    <t>2444660.626 </t>
  </si>
  <si>
    <t> 25.02.1981 03:01 </t>
  </si>
  <si>
    <t> 1.639 </t>
  </si>
  <si>
    <t> G.Samolyk </t>
  </si>
  <si>
    <t>2445022.443 </t>
  </si>
  <si>
    <t> 21.02.1982 22:37 </t>
  </si>
  <si>
    <t> 1.607 </t>
  </si>
  <si>
    <t> V.Wagner </t>
  </si>
  <si>
    <t>2445060.626 </t>
  </si>
  <si>
    <t> 01.04.1982 03:01 </t>
  </si>
  <si>
    <t> 1.643 </t>
  </si>
  <si>
    <t>2445753.782 </t>
  </si>
  <si>
    <t> 23.02.1984 06:46 </t>
  </si>
  <si>
    <t> 1.619 </t>
  </si>
  <si>
    <t>2446112.364 </t>
  </si>
  <si>
    <t> 15.02.1985 20:44 </t>
  </si>
  <si>
    <t> 1.622 </t>
  </si>
  <si>
    <t> D.Hanzl </t>
  </si>
  <si>
    <t> BRNO 27 </t>
  </si>
  <si>
    <t>2446112.370 </t>
  </si>
  <si>
    <t> 15.02.1985 20:52 </t>
  </si>
  <si>
    <t> 1.628 </t>
  </si>
  <si>
    <t> J.Safar </t>
  </si>
  <si>
    <t>2446112.378 </t>
  </si>
  <si>
    <t> 15.02.1985 21:04 </t>
  </si>
  <si>
    <t> P.Lutcha </t>
  </si>
  <si>
    <t>2446113.453 </t>
  </si>
  <si>
    <t> 16.02.1985 22:52 </t>
  </si>
  <si>
    <t> 1.621 </t>
  </si>
  <si>
    <t> T.Brelstaff </t>
  </si>
  <si>
    <t> VSSC 64.24 </t>
  </si>
  <si>
    <t>2446136.348 </t>
  </si>
  <si>
    <t> 11.03.1985 20:21 </t>
  </si>
  <si>
    <t>2446196.289 </t>
  </si>
  <si>
    <t> 10.05.1985 18:56 </t>
  </si>
  <si>
    <t>2446561.420 </t>
  </si>
  <si>
    <t> 10.05.1986 22:04 </t>
  </si>
  <si>
    <t> A.Paschke </t>
  </si>
  <si>
    <t> BBS 80 </t>
  </si>
  <si>
    <t>2446820.769 </t>
  </si>
  <si>
    <t> 25.01.1987 06:27 </t>
  </si>
  <si>
    <t> 1.588 </t>
  </si>
  <si>
    <t>2446915.632 </t>
  </si>
  <si>
    <t> 30.04.1987 03:10 </t>
  </si>
  <si>
    <t> 1.629 </t>
  </si>
  <si>
    <t>2447555.382 </t>
  </si>
  <si>
    <t> 28.01.1989 21:10 </t>
  </si>
  <si>
    <t> 1.605 </t>
  </si>
  <si>
    <t> Moschner&amp;Kleikamp </t>
  </si>
  <si>
    <t>BAVM 52 </t>
  </si>
  <si>
    <t>2447592.441 </t>
  </si>
  <si>
    <t> 06.03.1989 22:35 </t>
  </si>
  <si>
    <t>2447860.553 </t>
  </si>
  <si>
    <t> 30.11.1989 01:16 </t>
  </si>
  <si>
    <t> 1.602 </t>
  </si>
  <si>
    <t>BAVM 56 </t>
  </si>
  <si>
    <t>2448272.553 </t>
  </si>
  <si>
    <t> 16.01.1991 01:16 </t>
  </si>
  <si>
    <t> 1.617 </t>
  </si>
  <si>
    <t> A.Dedoch </t>
  </si>
  <si>
    <t> BRNO 31 </t>
  </si>
  <si>
    <t>2449061.630 </t>
  </si>
  <si>
    <t> 15.03.1993 03:07 </t>
  </si>
  <si>
    <t>2449787.503 </t>
  </si>
  <si>
    <t> 11.03.1995 00:04 </t>
  </si>
  <si>
    <t> 1.598 </t>
  </si>
  <si>
    <t>E </t>
  </si>
  <si>
    <t>?</t>
  </si>
  <si>
    <t> BBS 110 </t>
  </si>
  <si>
    <t>2449801.674 </t>
  </si>
  <si>
    <t> 25.03.1995 04:10 </t>
  </si>
  <si>
    <t> 1.600 </t>
  </si>
  <si>
    <t>2449810.3943 </t>
  </si>
  <si>
    <t> 02.04.1995 21:27 </t>
  </si>
  <si>
    <t> 1.6013 </t>
  </si>
  <si>
    <t>o</t>
  </si>
  <si>
    <t> W.Kleikamp </t>
  </si>
  <si>
    <t>BAVM 91 </t>
  </si>
  <si>
    <t>2450164.632 </t>
  </si>
  <si>
    <t> 22.03.1996 03:10 </t>
  </si>
  <si>
    <t> 1.620 </t>
  </si>
  <si>
    <t>C </t>
  </si>
  <si>
    <t>ns</t>
  </si>
  <si>
    <t> S.Cook </t>
  </si>
  <si>
    <t>2450186.4102 </t>
  </si>
  <si>
    <t> 12.04.1996 21:50 </t>
  </si>
  <si>
    <t> 1.5996 </t>
  </si>
  <si>
    <t> K.Koss </t>
  </si>
  <si>
    <t> BRNO 32 </t>
  </si>
  <si>
    <t>2450210.3834 </t>
  </si>
  <si>
    <t> 06.05.1996 21:12 </t>
  </si>
  <si>
    <t> 1.5949 </t>
  </si>
  <si>
    <t> E.Blättler </t>
  </si>
  <si>
    <t> BBS 112 </t>
  </si>
  <si>
    <t>2450515.5557 </t>
  </si>
  <si>
    <t> 08.03.1997 01:20 </t>
  </si>
  <si>
    <t> 1.5935 </t>
  </si>
  <si>
    <t> M.Netolicky </t>
  </si>
  <si>
    <t>2450888.3005 </t>
  </si>
  <si>
    <t> 15.03.1998 19:12 </t>
  </si>
  <si>
    <t> 1.5905 </t>
  </si>
  <si>
    <t>IBVS 4888 </t>
  </si>
  <si>
    <t>2450901.3785 </t>
  </si>
  <si>
    <t> 28.03.1998 21:05 </t>
  </si>
  <si>
    <t> 1.5896 </t>
  </si>
  <si>
    <t> R.Diethelm </t>
  </si>
  <si>
    <t> BBS 117 </t>
  </si>
  <si>
    <t>2451241.4290 </t>
  </si>
  <si>
    <t> 03.03.1999 22:17 </t>
  </si>
  <si>
    <t> 1.5894 </t>
  </si>
  <si>
    <t>IBVS 5263 </t>
  </si>
  <si>
    <t>2451995.6359 </t>
  </si>
  <si>
    <t> 27.03.2001 03:15 </t>
  </si>
  <si>
    <t> 1.5814 </t>
  </si>
  <si>
    <t> G.Lubcke </t>
  </si>
  <si>
    <t>2451997.801 </t>
  </si>
  <si>
    <t> 29.03.2001 07:13 </t>
  </si>
  <si>
    <t> 1.567 </t>
  </si>
  <si>
    <t> R.Hill </t>
  </si>
  <si>
    <t>2452007.6248 </t>
  </si>
  <si>
    <t> 08.04.2001 02:59 </t>
  </si>
  <si>
    <t> 1.5813 </t>
  </si>
  <si>
    <t> C.Hesseltine </t>
  </si>
  <si>
    <t>2452344.404 </t>
  </si>
  <si>
    <t> 10.03.2002 21:41 </t>
  </si>
  <si>
    <t> 1.580 </t>
  </si>
  <si>
    <t> BBS 127 </t>
  </si>
  <si>
    <t>2452371.6521 </t>
  </si>
  <si>
    <t> 07.04.2002 03:39 </t>
  </si>
  <si>
    <t> 1.5800 </t>
  </si>
  <si>
    <t> S.Dvorak </t>
  </si>
  <si>
    <t>2452634.3176 </t>
  </si>
  <si>
    <t> 25.12.2002 19:37 </t>
  </si>
  <si>
    <t> 1.5782 </t>
  </si>
  <si>
    <t> Maehara </t>
  </si>
  <si>
    <t>VSB 40 </t>
  </si>
  <si>
    <t>2452648.4832 </t>
  </si>
  <si>
    <t> 08.01.2003 23:35 </t>
  </si>
  <si>
    <t> 1.5750 </t>
  </si>
  <si>
    <t>-I</t>
  </si>
  <si>
    <t> K. &amp; M. Rätz </t>
  </si>
  <si>
    <t>BAVM 172 </t>
  </si>
  <si>
    <t>2452651.7583 </t>
  </si>
  <si>
    <t> 12.01.2003 06:11 </t>
  </si>
  <si>
    <t>19713.5</t>
  </si>
  <si>
    <t> 1.5804 </t>
  </si>
  <si>
    <t>2452719.3293 </t>
  </si>
  <si>
    <t> 20.03.2003 19:54 </t>
  </si>
  <si>
    <t>19775.5</t>
  </si>
  <si>
    <t> 1.5772 </t>
  </si>
  <si>
    <t> Moschner&amp;Frank </t>
  </si>
  <si>
    <t>2452734.608 </t>
  </si>
  <si>
    <t> 05.04.2003 02:35 </t>
  </si>
  <si>
    <t>19789.5</t>
  </si>
  <si>
    <t> 1.597 </t>
  </si>
  <si>
    <t> C.Stephan </t>
  </si>
  <si>
    <t> AOEB 12 </t>
  </si>
  <si>
    <t>2452735.6770 </t>
  </si>
  <si>
    <t> 06.04.2003 04:14 </t>
  </si>
  <si>
    <t>19790.5</t>
  </si>
  <si>
    <t> 1.5763 </t>
  </si>
  <si>
    <t>2452783.636 </t>
  </si>
  <si>
    <t> 24.05.2003 03:15 </t>
  </si>
  <si>
    <t>19834.5</t>
  </si>
  <si>
    <t> 1.579 </t>
  </si>
  <si>
    <t>2453087.7141 </t>
  </si>
  <si>
    <t> 23.03.2004 05:08 </t>
  </si>
  <si>
    <t>20113.5</t>
  </si>
  <si>
    <t> 1.5738 </t>
  </si>
  <si>
    <t> R.Nelson </t>
  </si>
  <si>
    <t>IBVS 5602 </t>
  </si>
  <si>
    <t>2453095.3432 </t>
  </si>
  <si>
    <t> 30.03.2004 20:14 </t>
  </si>
  <si>
    <t>20120.5</t>
  </si>
  <si>
    <t> 1.5735 </t>
  </si>
  <si>
    <t> v.Poschinger </t>
  </si>
  <si>
    <t>2453095.34526 </t>
  </si>
  <si>
    <t> 30.03.2004 20:17 </t>
  </si>
  <si>
    <t> 1.57559 </t>
  </si>
  <si>
    <t> R.Ehrenberger </t>
  </si>
  <si>
    <t>OEJV 0074 </t>
  </si>
  <si>
    <t>2453111.6921 </t>
  </si>
  <si>
    <t> 16.04.2004 04:36 </t>
  </si>
  <si>
    <t>20135.5</t>
  </si>
  <si>
    <t>IBVS 5603 </t>
  </si>
  <si>
    <t>2453325.3179 </t>
  </si>
  <si>
    <t> 15.11.2004 19:37 </t>
  </si>
  <si>
    <t>20331.5</t>
  </si>
  <si>
    <t> 1.5781 </t>
  </si>
  <si>
    <t> Nakajima </t>
  </si>
  <si>
    <t>VSB 43 </t>
  </si>
  <si>
    <t>2453373.2749 </t>
  </si>
  <si>
    <t> 02.01.2005 18:35 </t>
  </si>
  <si>
    <t>20375.5</t>
  </si>
  <si>
    <t> 1.5792 </t>
  </si>
  <si>
    <t>VSB 44 </t>
  </si>
  <si>
    <t>2453387.4371 </t>
  </si>
  <si>
    <t> 16.01.2005 22:29 </t>
  </si>
  <si>
    <t>20388.5</t>
  </si>
  <si>
    <t> 1.5726 </t>
  </si>
  <si>
    <t>BAVM 178 </t>
  </si>
  <si>
    <t>2453390.7585 </t>
  </si>
  <si>
    <t> 20.01.2005 06:12 </t>
  </si>
  <si>
    <t>20391.5</t>
  </si>
  <si>
    <t> 1.6243 </t>
  </si>
  <si>
    <t> W.Ogloza et al. </t>
  </si>
  <si>
    <t>IBVS 5843 </t>
  </si>
  <si>
    <t>2453448.463 </t>
  </si>
  <si>
    <t> 18.03.2005 23:06 </t>
  </si>
  <si>
    <t>20444.5</t>
  </si>
  <si>
    <t> 1.564 </t>
  </si>
  <si>
    <t>OEJV 0003 </t>
  </si>
  <si>
    <t>2453483.3491 </t>
  </si>
  <si>
    <t> 22.04.2005 20:22 </t>
  </si>
  <si>
    <t>20476.5</t>
  </si>
  <si>
    <t> 1.5729 </t>
  </si>
  <si>
    <t>BAVM 173 </t>
  </si>
  <si>
    <t>2453701.3275 </t>
  </si>
  <si>
    <t> 26.11.2005 19:51 </t>
  </si>
  <si>
    <t>20676.5</t>
  </si>
  <si>
    <t> 1.5701 </t>
  </si>
  <si>
    <t> Kubotera </t>
  </si>
  <si>
    <t>2453752.5433 </t>
  </si>
  <si>
    <t> 17.01.2006 01:02 </t>
  </si>
  <si>
    <t>20723.5</t>
  </si>
  <si>
    <t> 1.5603 </t>
  </si>
  <si>
    <t>2453859.36584 </t>
  </si>
  <si>
    <t> 03.05.2006 20:46 </t>
  </si>
  <si>
    <t>20821.5</t>
  </si>
  <si>
    <t> 1.57206 </t>
  </si>
  <si>
    <t>2454067.5363 </t>
  </si>
  <si>
    <t> 28.11.2006 00:52 </t>
  </si>
  <si>
    <t>21012.5</t>
  </si>
  <si>
    <t> 1.5705 </t>
  </si>
  <si>
    <t> S.Dogru et al. </t>
  </si>
  <si>
    <t>IBVS 5893 </t>
  </si>
  <si>
    <t>2454116.5774 </t>
  </si>
  <si>
    <t> 16.01.2007 01:51 </t>
  </si>
  <si>
    <t>21057.5</t>
  </si>
  <si>
    <t> 1.5658 </t>
  </si>
  <si>
    <t> M.Lehky </t>
  </si>
  <si>
    <t>OEJV 0107 </t>
  </si>
  <si>
    <t>2454141.6452 </t>
  </si>
  <si>
    <t> 10.02.2007 03:29 </t>
  </si>
  <si>
    <t>21080.5</t>
  </si>
  <si>
    <t>2454174.3427 </t>
  </si>
  <si>
    <t> 14.03.2007 20:13 </t>
  </si>
  <si>
    <t>21110.5</t>
  </si>
  <si>
    <t> 1.5661 </t>
  </si>
  <si>
    <t> Moschner &amp; Frank </t>
  </si>
  <si>
    <t>BAVM 203 </t>
  </si>
  <si>
    <t>2454179.7937 </t>
  </si>
  <si>
    <t> 20.03.2007 07:02 </t>
  </si>
  <si>
    <t>21115.5</t>
  </si>
  <si>
    <t> 1.5676 </t>
  </si>
  <si>
    <t> J.Bialozynski </t>
  </si>
  <si>
    <t>2454199.4152 </t>
  </si>
  <si>
    <t> 08.04.2007 21:57 </t>
  </si>
  <si>
    <t>21133.5</t>
  </si>
  <si>
    <t> 1.5707 </t>
  </si>
  <si>
    <t> F.Agerer </t>
  </si>
  <si>
    <t>BAVM 186 </t>
  </si>
  <si>
    <t>2454211.3999 </t>
  </si>
  <si>
    <t> 20.04.2007 21:35 </t>
  </si>
  <si>
    <t>21144.5</t>
  </si>
  <si>
    <t> 1.5665 </t>
  </si>
  <si>
    <t> U.Schmidt </t>
  </si>
  <si>
    <t>2454528.5656 </t>
  </si>
  <si>
    <t> 03.03.2008 01:34 </t>
  </si>
  <si>
    <t>21435.5</t>
  </si>
  <si>
    <t> 1.5695 </t>
  </si>
  <si>
    <t>IBVS 5870 </t>
  </si>
  <si>
    <t>2454529.6543 </t>
  </si>
  <si>
    <t> 04.03.2008 03:42 </t>
  </si>
  <si>
    <t>21436.5</t>
  </si>
  <si>
    <t> 1.5683 </t>
  </si>
  <si>
    <t>JAAVSO 36(2);186 </t>
  </si>
  <si>
    <t>2454590.6862 </t>
  </si>
  <si>
    <t> 04.05.2008 04:28 </t>
  </si>
  <si>
    <t>21492.5</t>
  </si>
  <si>
    <t> 1.5655 </t>
  </si>
  <si>
    <t>2454962.3451 </t>
  </si>
  <si>
    <t> 10.05.2009 20:16 </t>
  </si>
  <si>
    <t>21833.5</t>
  </si>
  <si>
    <t> 1.5664 </t>
  </si>
  <si>
    <t>2455305.6693 </t>
  </si>
  <si>
    <t> 19.04.2010 04:03 </t>
  </si>
  <si>
    <t>22148.5</t>
  </si>
  <si>
    <t> 1.5703 </t>
  </si>
  <si>
    <t> JAAVSO 39;94 </t>
  </si>
  <si>
    <t>2455560.7093 </t>
  </si>
  <si>
    <t> 30.12.2010 05:01 </t>
  </si>
  <si>
    <t>22382.5</t>
  </si>
  <si>
    <t> 1.5723 </t>
  </si>
  <si>
    <t> K.Menzies </t>
  </si>
  <si>
    <t> JAAVSO 39;177 </t>
  </si>
  <si>
    <t>2455561.7948 </t>
  </si>
  <si>
    <t> 31.12.2010 07:04 </t>
  </si>
  <si>
    <t>22383.5</t>
  </si>
  <si>
    <t> 1.5678 </t>
  </si>
  <si>
    <t>2455574.8775 </t>
  </si>
  <si>
    <t> 13.01.2011 09:03 </t>
  </si>
  <si>
    <t>22395.5</t>
  </si>
  <si>
    <t> 1.5717 </t>
  </si>
  <si>
    <t>IBVS 5992 </t>
  </si>
  <si>
    <t>2455608.6646 </t>
  </si>
  <si>
    <t> 16.02.2011 03:57 </t>
  </si>
  <si>
    <t>22426.5</t>
  </si>
  <si>
    <t> R.Poklar </t>
  </si>
  <si>
    <t>2455623.3839 </t>
  </si>
  <si>
    <t> 02.03.2011 21:12 </t>
  </si>
  <si>
    <t>22440</t>
  </si>
  <si>
    <t> 1.5773 </t>
  </si>
  <si>
    <t> P.Frank </t>
  </si>
  <si>
    <t>BAVM 220 </t>
  </si>
  <si>
    <t>2455625.5694 </t>
  </si>
  <si>
    <t> 05.03.2011 01:39 </t>
  </si>
  <si>
    <t>22442</t>
  </si>
  <si>
    <t> 1.5829 </t>
  </si>
  <si>
    <t>2455642.45035 </t>
  </si>
  <si>
    <t> 21.03.2011 22:48 </t>
  </si>
  <si>
    <t>22457.5</t>
  </si>
  <si>
    <t> 1.57036 </t>
  </si>
  <si>
    <t> L.Šmelcer </t>
  </si>
  <si>
    <t>OEJV 0160 </t>
  </si>
  <si>
    <t>2455642.45095 </t>
  </si>
  <si>
    <t> 21.03.2011 22:49 </t>
  </si>
  <si>
    <t> 1.57096 </t>
  </si>
  <si>
    <t>2455643.5406 </t>
  </si>
  <si>
    <t> 23.03.2011 00:58 </t>
  </si>
  <si>
    <t>22458.5</t>
  </si>
  <si>
    <t>2455653.35026 </t>
  </si>
  <si>
    <t> 01.04.2011 20:24 </t>
  </si>
  <si>
    <t>22467.5</t>
  </si>
  <si>
    <t> 1.57121 </t>
  </si>
  <si>
    <t>2455653.35146 </t>
  </si>
  <si>
    <t> 01.04.2011 20:26 </t>
  </si>
  <si>
    <t> 1.57241 </t>
  </si>
  <si>
    <t>2455995.5824 </t>
  </si>
  <si>
    <t> 09.03.2012 01:58 </t>
  </si>
  <si>
    <t>22781.5</t>
  </si>
  <si>
    <t> N.Simmons </t>
  </si>
  <si>
    <t> JAAVSO 41;122 </t>
  </si>
  <si>
    <t>2456005.3897 </t>
  </si>
  <si>
    <t> 18.03.2012 21:21 </t>
  </si>
  <si>
    <t>22790.5</t>
  </si>
  <si>
    <t> 1.5710 </t>
  </si>
  <si>
    <t>2456005.3902 </t>
  </si>
  <si>
    <t> 1.5715 </t>
  </si>
  <si>
    <t>2456005.3906 </t>
  </si>
  <si>
    <t> 18.03.2012 21:22 </t>
  </si>
  <si>
    <t> 1.5719 </t>
  </si>
  <si>
    <t>2456021.7423 </t>
  </si>
  <si>
    <t> 04.04.2012 05:48 </t>
  </si>
  <si>
    <t>22805.5</t>
  </si>
  <si>
    <t>IBVS 6029 </t>
  </si>
  <si>
    <t>2456727.4609 </t>
  </si>
  <si>
    <t> 10.03.2014 23:03 </t>
  </si>
  <si>
    <t>23453</t>
  </si>
  <si>
    <t> 1.5795 </t>
  </si>
  <si>
    <t>BAVM 238 </t>
  </si>
  <si>
    <t>2457017.9172 </t>
  </si>
  <si>
    <t> 26.12.2014 10:00 </t>
  </si>
  <si>
    <t> 1.5758 </t>
  </si>
  <si>
    <t> JAAVSO 43-1 </t>
  </si>
  <si>
    <t>2457074.5948 </t>
  </si>
  <si>
    <t> 21.02.2015 02:16 </t>
  </si>
  <si>
    <t> 1.5783 </t>
  </si>
  <si>
    <t>BAVM 239 </t>
  </si>
  <si>
    <t>OEJV 0179</t>
  </si>
  <si>
    <t>BAD?</t>
  </si>
  <si>
    <t>JAVSO 43, 77</t>
  </si>
  <si>
    <t>JAVSO..44…69</t>
  </si>
  <si>
    <t>JAVSO..45..121</t>
  </si>
  <si>
    <t>JAVSO..45..215</t>
  </si>
  <si>
    <t>IBVS 6230</t>
  </si>
  <si>
    <t>JAVSO..46…79 (2018)</t>
  </si>
  <si>
    <t>JAVSO..46..184</t>
  </si>
  <si>
    <t>JAVSO..47..263</t>
  </si>
  <si>
    <t>JAVSO..48..256</t>
  </si>
  <si>
    <t>OEJV 0211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</si>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</sst>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78" formatCode="0.00000"/>
  </numFmts>
  <fonts count="4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9" fillId="0" borderId="0"/>
    <xf numFmtId="0" fontId="27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21" fillId="0" borderId="15" xfId="0" applyFont="1" applyBorder="1">
      <alignment vertical="top"/>
    </xf>
    <xf numFmtId="0" fontId="12" fillId="0" borderId="11" xfId="0" applyFont="1" applyBorder="1">
      <alignment vertical="top"/>
    </xf>
    <xf numFmtId="176" fontId="12" fillId="0" borderId="11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21" fillId="0" borderId="17" xfId="0" applyFont="1" applyBorder="1">
      <alignment vertical="top"/>
    </xf>
    <xf numFmtId="0" fontId="12" fillId="0" borderId="12" xfId="0" applyFont="1" applyBorder="1">
      <alignment vertical="top"/>
    </xf>
    <xf numFmtId="176" fontId="12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21" fillId="0" borderId="19" xfId="0" applyFont="1" applyBorder="1">
      <alignment vertical="top"/>
    </xf>
    <xf numFmtId="0" fontId="12" fillId="0" borderId="13" xfId="0" applyFont="1" applyBorder="1">
      <alignment vertical="top"/>
    </xf>
    <xf numFmtId="176" fontId="12" fillId="0" borderId="13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21" fillId="0" borderId="0" xfId="0" applyFont="1">
      <alignment vertical="top"/>
    </xf>
    <xf numFmtId="176" fontId="12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0" fillId="0" borderId="0" xfId="0" applyFill="1">
      <alignment vertical="top"/>
    </xf>
    <xf numFmtId="0" fontId="12" fillId="0" borderId="0" xfId="0" applyFont="1" applyFill="1">
      <alignment vertical="top"/>
    </xf>
    <xf numFmtId="0" fontId="15" fillId="0" borderId="0" xfId="0" applyFont="1" applyProtection="1">
      <alignment vertical="top"/>
      <protection locked="0"/>
    </xf>
    <xf numFmtId="0" fontId="15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9" fillId="0" borderId="0" xfId="0" applyFont="1">
      <alignment vertical="top"/>
    </xf>
    <xf numFmtId="0" fontId="7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24" borderId="5" xfId="0" applyFont="1" applyFill="1" applyBorder="1">
      <alignment vertical="top"/>
    </xf>
    <xf numFmtId="0" fontId="12" fillId="0" borderId="20" xfId="0" applyFont="1" applyFill="1" applyBorder="1">
      <alignment vertical="top"/>
    </xf>
    <xf numFmtId="0" fontId="7" fillId="0" borderId="5" xfId="0" applyFont="1" applyFill="1" applyBorder="1">
      <alignment vertical="top"/>
    </xf>
    <xf numFmtId="0" fontId="0" fillId="0" borderId="5" xfId="0" applyFill="1" applyBorder="1">
      <alignment vertical="top"/>
    </xf>
    <xf numFmtId="10" fontId="7" fillId="0" borderId="0" xfId="0" applyNumberFormat="1" applyFont="1" applyFill="1" applyBorder="1">
      <alignment vertical="top"/>
    </xf>
    <xf numFmtId="0" fontId="11" fillId="0" borderId="0" xfId="0" applyFont="1">
      <alignment vertical="top"/>
    </xf>
    <xf numFmtId="177" fontId="11" fillId="0" borderId="0" xfId="0" applyNumberFormat="1" applyFont="1">
      <alignment vertical="top"/>
    </xf>
    <xf numFmtId="10" fontId="11" fillId="0" borderId="0" xfId="0" applyNumberFormat="1" applyFont="1" applyFill="1" applyBorder="1">
      <alignment vertical="top"/>
    </xf>
    <xf numFmtId="0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6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1" xfId="0" applyFont="1" applyFill="1" applyBorder="1" applyAlignment="1">
      <alignment horizontal="left" vertical="top" wrapText="1" indent="1"/>
    </xf>
    <xf numFmtId="0" fontId="5" fillId="25" borderId="21" xfId="0" applyFont="1" applyFill="1" applyBorder="1" applyAlignment="1">
      <alignment horizontal="center" vertical="top" wrapText="1"/>
    </xf>
    <xf numFmtId="0" fontId="5" fillId="25" borderId="21" xfId="0" applyFont="1" applyFill="1" applyBorder="1" applyAlignment="1">
      <alignment horizontal="right" vertical="top" wrapText="1"/>
    </xf>
    <xf numFmtId="0" fontId="26" fillId="25" borderId="21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center" vertical="center"/>
    </xf>
    <xf numFmtId="0" fontId="43" fillId="0" borderId="0" xfId="42" applyFont="1" applyAlignment="1">
      <alignment horizontal="left"/>
    </xf>
    <xf numFmtId="0" fontId="43" fillId="0" borderId="0" xfId="42" applyFont="1" applyAlignment="1">
      <alignment horizontal="left" vertical="center" wrapText="1"/>
    </xf>
    <xf numFmtId="0" fontId="43" fillId="0" borderId="0" xfId="42" applyFont="1" applyAlignment="1">
      <alignment horizontal="center" vertical="center" wrapText="1"/>
    </xf>
    <xf numFmtId="0" fontId="43" fillId="0" borderId="0" xfId="42" applyFont="1" applyAlignment="1">
      <alignment horizontal="left" wrapText="1"/>
    </xf>
    <xf numFmtId="0" fontId="43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42" applyFont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78" fontId="44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Leo - O-C Diagr.</a:t>
            </a:r>
          </a:p>
        </c:rich>
      </c:tx>
      <c:layout>
        <c:manualLayout>
          <c:xMode val="edge"/>
          <c:yMode val="edge"/>
          <c:x val="0.3831782242172999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7185959382848"/>
          <c:y val="0.14634168126798494"/>
          <c:w val="0.8146429837224123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2.7780000018537976E-3</c:v>
                </c:pt>
                <c:pt idx="1">
                  <c:v>-6.1879999993834645E-3</c:v>
                </c:pt>
                <c:pt idx="2">
                  <c:v>-2.0000000004074536E-3</c:v>
                </c:pt>
                <c:pt idx="3">
                  <c:v>0</c:v>
                </c:pt>
                <c:pt idx="4">
                  <c:v>-9.9059999993187375E-3</c:v>
                </c:pt>
                <c:pt idx="5">
                  <c:v>2.5880000001052395E-2</c:v>
                </c:pt>
                <c:pt idx="6">
                  <c:v>8.1360000003769528E-3</c:v>
                </c:pt>
                <c:pt idx="7">
                  <c:v>-4.0829999998095445E-2</c:v>
                </c:pt>
                <c:pt idx="8">
                  <c:v>2.0110000001295703E-2</c:v>
                </c:pt>
                <c:pt idx="9">
                  <c:v>2.0399999993969686E-4</c:v>
                </c:pt>
                <c:pt idx="10">
                  <c:v>-2.6045999999041669E-2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84-4A5C-8EEC-61BBD4B616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1">
                  <c:v>-2.1071999995911028E-2</c:v>
                </c:pt>
                <c:pt idx="12">
                  <c:v>1.0639999964041635E-3</c:v>
                </c:pt>
                <c:pt idx="13">
                  <c:v>2.0980000044801272E-3</c:v>
                </c:pt>
                <c:pt idx="14">
                  <c:v>1.5098000003490597E-2</c:v>
                </c:pt>
                <c:pt idx="15">
                  <c:v>-7.8807999998389278E-2</c:v>
                </c:pt>
                <c:pt idx="16">
                  <c:v>1.8192000003182329E-2</c:v>
                </c:pt>
                <c:pt idx="17">
                  <c:v>-1.8459999992046505E-3</c:v>
                </c:pt>
                <c:pt idx="18">
                  <c:v>1.1392000000341795E-2</c:v>
                </c:pt>
                <c:pt idx="19">
                  <c:v>1.4260000025387853E-3</c:v>
                </c:pt>
                <c:pt idx="20">
                  <c:v>-1.1239999999816064E-2</c:v>
                </c:pt>
                <c:pt idx="21">
                  <c:v>5.5859999993117526E-3</c:v>
                </c:pt>
                <c:pt idx="22">
                  <c:v>-3.3479999983683228E-3</c:v>
                </c:pt>
                <c:pt idx="23">
                  <c:v>4.0019999942160212E-3</c:v>
                </c:pt>
                <c:pt idx="24">
                  <c:v>-2.7790000000095461E-2</c:v>
                </c:pt>
                <c:pt idx="25">
                  <c:v>8.4999999962747097E-3</c:v>
                </c:pt>
                <c:pt idx="26">
                  <c:v>-1.5716000001702923E-2</c:v>
                </c:pt>
                <c:pt idx="27">
                  <c:v>-1.2790000000677537E-2</c:v>
                </c:pt>
                <c:pt idx="28">
                  <c:v>-6.7899999994551763E-3</c:v>
                </c:pt>
                <c:pt idx="29">
                  <c:v>1.2099999948986806E-3</c:v>
                </c:pt>
                <c:pt idx="30">
                  <c:v>-1.3696000001800712E-2</c:v>
                </c:pt>
                <c:pt idx="31">
                  <c:v>-6.7220000055385754E-3</c:v>
                </c:pt>
                <c:pt idx="32">
                  <c:v>-1.0551999999734107E-2</c:v>
                </c:pt>
                <c:pt idx="33">
                  <c:v>1.9380000012461096E-3</c:v>
                </c:pt>
                <c:pt idx="34">
                  <c:v>-4.6690000002854504E-2</c:v>
                </c:pt>
                <c:pt idx="35">
                  <c:v>-5.5120000033639371E-3</c:v>
                </c:pt>
                <c:pt idx="36">
                  <c:v>-3.0334000002767425E-2</c:v>
                </c:pt>
                <c:pt idx="37">
                  <c:v>-2.8138000001490582E-2</c:v>
                </c:pt>
                <c:pt idx="38">
                  <c:v>-3.3014000000548549E-2</c:v>
                </c:pt>
                <c:pt idx="39">
                  <c:v>-1.7481999995652586E-2</c:v>
                </c:pt>
                <c:pt idx="40">
                  <c:v>-3.242599999794038E-2</c:v>
                </c:pt>
                <c:pt idx="41">
                  <c:v>-3.682200000184821E-2</c:v>
                </c:pt>
                <c:pt idx="42">
                  <c:v>-3.4599999999045394E-2</c:v>
                </c:pt>
                <c:pt idx="43">
                  <c:v>-3.3547999999427702E-2</c:v>
                </c:pt>
                <c:pt idx="44">
                  <c:v>-1.5297999998438172E-2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84-4A5C-8EEC-61BBD4B616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5">
                  <c:v>-3.5218000004533678E-2</c:v>
                </c:pt>
                <c:pt idx="46">
                  <c:v>-4.034999999566935E-2</c:v>
                </c:pt>
                <c:pt idx="47">
                  <c:v>-3.9949999998498242E-2</c:v>
                </c:pt>
                <c:pt idx="48">
                  <c:v>-4.1330000007292256E-2</c:v>
                </c:pt>
                <c:pt idx="49">
                  <c:v>-4.4382000007317401E-2</c:v>
                </c:pt>
                <c:pt idx="50">
                  <c:v>-4.5254000004206318E-2</c:v>
                </c:pt>
                <c:pt idx="51">
                  <c:v>-4.5426000004226808E-2</c:v>
                </c:pt>
                <c:pt idx="52">
                  <c:v>-5.3477999994356651E-2</c:v>
                </c:pt>
                <c:pt idx="54">
                  <c:v>-5.3544000002148096E-2</c:v>
                </c:pt>
                <c:pt idx="55">
                  <c:v>-5.5297999999311287E-2</c:v>
                </c:pt>
                <c:pt idx="56">
                  <c:v>-5.4847999999765307E-2</c:v>
                </c:pt>
                <c:pt idx="57">
                  <c:v>-5.6693999998969957E-2</c:v>
                </c:pt>
                <c:pt idx="58">
                  <c:v>-5.9871999997994862E-2</c:v>
                </c:pt>
                <c:pt idx="60">
                  <c:v>-5.7662000006530434E-2</c:v>
                </c:pt>
                <c:pt idx="65">
                  <c:v>-6.1331999997491948E-2</c:v>
                </c:pt>
                <c:pt idx="70">
                  <c:v>-6.2239999992016237E-2</c:v>
                </c:pt>
                <c:pt idx="73">
                  <c:v>-6.1968000001797918E-2</c:v>
                </c:pt>
                <c:pt idx="83">
                  <c:v>-6.4109999992069788E-2</c:v>
                </c:pt>
                <c:pt idx="84">
                  <c:v>-6.8376000002899673E-2</c:v>
                </c:pt>
                <c:pt idx="95">
                  <c:v>-5.7598999999754597E-2</c:v>
                </c:pt>
                <c:pt idx="99">
                  <c:v>-6.4160000001720618E-2</c:v>
                </c:pt>
                <c:pt idx="107">
                  <c:v>-5.5377000004227739E-2</c:v>
                </c:pt>
                <c:pt idx="114">
                  <c:v>-5.6537999997090083E-2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84-4A5C-8EEC-61BBD4B616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9">
                  <c:v>-5.4489999994984828E-2</c:v>
                </c:pt>
                <c:pt idx="62">
                  <c:v>-5.8551999994961079E-2</c:v>
                </c:pt>
                <c:pt idx="63">
                  <c:v>-5.5416000002878718E-2</c:v>
                </c:pt>
                <c:pt idx="64">
                  <c:v>-6.1090000002877787E-2</c:v>
                </c:pt>
                <c:pt idx="66">
                  <c:v>-5.9271999998600222E-2</c:v>
                </c:pt>
                <c:pt idx="67">
                  <c:v>-6.1021999994409271E-2</c:v>
                </c:pt>
                <c:pt idx="68">
                  <c:v>-5.6797999997797888E-2</c:v>
                </c:pt>
                <c:pt idx="69">
                  <c:v>-5.566200000612298E-2</c:v>
                </c:pt>
                <c:pt idx="71">
                  <c:v>0</c:v>
                </c:pt>
                <c:pt idx="72">
                  <c:v>-7.1075999992899597E-2</c:v>
                </c:pt>
                <c:pt idx="74">
                  <c:v>-6.4767999996547587E-2</c:v>
                </c:pt>
                <c:pt idx="76">
                  <c:v>-6.2797999999020249E-2</c:v>
                </c:pt>
                <c:pt idx="77">
                  <c:v>-6.4384000004793052E-2</c:v>
                </c:pt>
                <c:pt idx="78">
                  <c:v>-6.9053999999596272E-2</c:v>
                </c:pt>
                <c:pt idx="79">
                  <c:v>-6.9004000004497357E-2</c:v>
                </c:pt>
                <c:pt idx="80">
                  <c:v>-6.9092000005184673E-2</c:v>
                </c:pt>
                <c:pt idx="81">
                  <c:v>-6.8771999998716637E-2</c:v>
                </c:pt>
                <c:pt idx="82">
                  <c:v>-6.7302000003110152E-2</c:v>
                </c:pt>
                <c:pt idx="85">
                  <c:v>-6.5321999994921498E-2</c:v>
                </c:pt>
                <c:pt idx="86">
                  <c:v>-6.6528000003017951E-2</c:v>
                </c:pt>
                <c:pt idx="87">
                  <c:v>-6.9364000002678949E-2</c:v>
                </c:pt>
                <c:pt idx="88">
                  <c:v>-6.8409999999857973E-2</c:v>
                </c:pt>
                <c:pt idx="89">
                  <c:v>-6.4978000002156477E-2</c:v>
                </c:pt>
                <c:pt idx="90">
                  <c:v>-6.4599999997881241E-2</c:v>
                </c:pt>
                <c:pt idx="91">
                  <c:v>-6.2603999998827931E-2</c:v>
                </c:pt>
                <c:pt idx="92">
                  <c:v>-6.700999999884516E-2</c:v>
                </c:pt>
                <c:pt idx="93">
                  <c:v>-6.3181999998050742E-2</c:v>
                </c:pt>
                <c:pt idx="94">
                  <c:v>-6.3168000000587199E-2</c:v>
                </c:pt>
                <c:pt idx="97">
                  <c:v>-6.4504000001761597E-2</c:v>
                </c:pt>
                <c:pt idx="98">
                  <c:v>-6.3904000002366956E-2</c:v>
                </c:pt>
                <c:pt idx="100">
                  <c:v>-6.3654000005044509E-2</c:v>
                </c:pt>
                <c:pt idx="101">
                  <c:v>-6.2454000006255228E-2</c:v>
                </c:pt>
                <c:pt idx="102">
                  <c:v>-6.1998000004678033E-2</c:v>
                </c:pt>
                <c:pt idx="103">
                  <c:v>-6.3851999999315012E-2</c:v>
                </c:pt>
                <c:pt idx="104">
                  <c:v>-6.3351999997394159E-2</c:v>
                </c:pt>
                <c:pt idx="105">
                  <c:v>-6.2952000000223052E-2</c:v>
                </c:pt>
                <c:pt idx="106">
                  <c:v>-5.9842000002390705E-2</c:v>
                </c:pt>
                <c:pt idx="108">
                  <c:v>-5.902599999535596E-2</c:v>
                </c:pt>
                <c:pt idx="109">
                  <c:v>-5.902599999535596E-2</c:v>
                </c:pt>
                <c:pt idx="110">
                  <c:v>-5.6082000002788845E-2</c:v>
                </c:pt>
                <c:pt idx="111">
                  <c:v>-5.9377999998105224E-2</c:v>
                </c:pt>
                <c:pt idx="112">
                  <c:v>-5.9357999998610467E-2</c:v>
                </c:pt>
                <c:pt idx="113">
                  <c:v>-5.8317999995779246E-2</c:v>
                </c:pt>
                <c:pt idx="115">
                  <c:v>-5.9610000003885943E-2</c:v>
                </c:pt>
                <c:pt idx="116">
                  <c:v>-5.6089999998221174E-2</c:v>
                </c:pt>
                <c:pt idx="117">
                  <c:v>-5.7580000007874332E-2</c:v>
                </c:pt>
                <c:pt idx="118">
                  <c:v>-5.6385999996564351E-2</c:v>
                </c:pt>
                <c:pt idx="119">
                  <c:v>-5.1751999999396503E-2</c:v>
                </c:pt>
                <c:pt idx="120">
                  <c:v>-5.3350000001955777E-2</c:v>
                </c:pt>
                <c:pt idx="121">
                  <c:v>-5.564800000138348E-2</c:v>
                </c:pt>
                <c:pt idx="122">
                  <c:v>-5.1425999998173211E-2</c:v>
                </c:pt>
                <c:pt idx="123">
                  <c:v>-4.8084000052767806E-2</c:v>
                </c:pt>
                <c:pt idx="124">
                  <c:v>-4.8945999995339662E-2</c:v>
                </c:pt>
                <c:pt idx="125">
                  <c:v>-4.5727999997325242E-2</c:v>
                </c:pt>
                <c:pt idx="126">
                  <c:v>-4.5442000002367422E-2</c:v>
                </c:pt>
                <c:pt idx="127">
                  <c:v>-4.6107999995001592E-2</c:v>
                </c:pt>
                <c:pt idx="128">
                  <c:v>-4.6419999998761341E-2</c:v>
                </c:pt>
                <c:pt idx="129">
                  <c:v>-4.2553999999654479E-2</c:v>
                </c:pt>
                <c:pt idx="130">
                  <c:v>-4.1802000007010065E-2</c:v>
                </c:pt>
                <c:pt idx="131">
                  <c:v>-4.4351999997161329E-2</c:v>
                </c:pt>
                <c:pt idx="132">
                  <c:v>-4.0035999998508487E-2</c:v>
                </c:pt>
                <c:pt idx="133">
                  <c:v>-3.7038000002212357E-2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84-4A5C-8EEC-61BBD4B616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84-4A5C-8EEC-61BBD4B616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84-4A5C-8EEC-61BBD4B616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84-4A5C-8EEC-61BBD4B616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70">
                  <c:v>-7.7678586307366765E-2</c:v>
                </c:pt>
                <c:pt idx="71">
                  <c:v>-7.7659268309405532E-2</c:v>
                </c:pt>
                <c:pt idx="72">
                  <c:v>-7.7317983678757224E-2</c:v>
                </c:pt>
                <c:pt idx="73">
                  <c:v>-7.7111925033837486E-2</c:v>
                </c:pt>
                <c:pt idx="74">
                  <c:v>-7.5824058503089098E-2</c:v>
                </c:pt>
                <c:pt idx="75">
                  <c:v>-7.5521409868363226E-2</c:v>
                </c:pt>
                <c:pt idx="76">
                  <c:v>-7.4890355268296516E-2</c:v>
                </c:pt>
                <c:pt idx="77">
                  <c:v>-7.3660442731431797E-2</c:v>
                </c:pt>
                <c:pt idx="78">
                  <c:v>-7.3370672762013395E-2</c:v>
                </c:pt>
                <c:pt idx="79">
                  <c:v>-7.3370672762013395E-2</c:v>
                </c:pt>
                <c:pt idx="80">
                  <c:v>-7.3222568110977354E-2</c:v>
                </c:pt>
                <c:pt idx="81">
                  <c:v>-7.3029388131365086E-2</c:v>
                </c:pt>
                <c:pt idx="82">
                  <c:v>-7.2997191468096384E-2</c:v>
                </c:pt>
                <c:pt idx="83">
                  <c:v>-7.2881283480329018E-2</c:v>
                </c:pt>
                <c:pt idx="84">
                  <c:v>-7.2810450821137851E-2</c:v>
                </c:pt>
                <c:pt idx="85">
                  <c:v>-7.0936605018898952E-2</c:v>
                </c:pt>
                <c:pt idx="86">
                  <c:v>-7.0930165686245217E-2</c:v>
                </c:pt>
                <c:pt idx="87">
                  <c:v>-7.0569563057635676E-2</c:v>
                </c:pt>
                <c:pt idx="88">
                  <c:v>-6.8373750622709673E-2</c:v>
                </c:pt>
                <c:pt idx="89">
                  <c:v>-6.658361614496941E-2</c:v>
                </c:pt>
                <c:pt idx="90">
                  <c:v>-6.6345360836780942E-2</c:v>
                </c:pt>
                <c:pt idx="91">
                  <c:v>-6.4838556995805346E-2</c:v>
                </c:pt>
                <c:pt idx="92">
                  <c:v>-6.4832117663151584E-2</c:v>
                </c:pt>
                <c:pt idx="93">
                  <c:v>-6.4754845671306682E-2</c:v>
                </c:pt>
                <c:pt idx="94">
                  <c:v>-6.4555226359040679E-2</c:v>
                </c:pt>
                <c:pt idx="95">
                  <c:v>-6.4468295368215189E-2</c:v>
                </c:pt>
                <c:pt idx="96">
                  <c:v>-6.4455416702907692E-2</c:v>
                </c:pt>
                <c:pt idx="97">
                  <c:v>-6.4355607046774704E-2</c:v>
                </c:pt>
                <c:pt idx="98">
                  <c:v>-6.4355607046774704E-2</c:v>
                </c:pt>
                <c:pt idx="99">
                  <c:v>-6.4349167714120942E-2</c:v>
                </c:pt>
                <c:pt idx="100">
                  <c:v>-6.4291213720237272E-2</c:v>
                </c:pt>
                <c:pt idx="101">
                  <c:v>-6.4291213720237272E-2</c:v>
                </c:pt>
                <c:pt idx="102">
                  <c:v>-6.2269263266962305E-2</c:v>
                </c:pt>
                <c:pt idx="103">
                  <c:v>-6.2211309273078635E-2</c:v>
                </c:pt>
                <c:pt idx="104">
                  <c:v>-6.2211309273078635E-2</c:v>
                </c:pt>
                <c:pt idx="105">
                  <c:v>-6.2211309273078635E-2</c:v>
                </c:pt>
                <c:pt idx="106">
                  <c:v>-6.2114719283272501E-2</c:v>
                </c:pt>
                <c:pt idx="107">
                  <c:v>-5.7945251389974584E-2</c:v>
                </c:pt>
                <c:pt idx="108">
                  <c:v>-5.6229169237752369E-2</c:v>
                </c:pt>
                <c:pt idx="109">
                  <c:v>-5.6229169237752369E-2</c:v>
                </c:pt>
                <c:pt idx="110">
                  <c:v>-5.6190533241829904E-2</c:v>
                </c:pt>
                <c:pt idx="111">
                  <c:v>-5.6119700582638765E-2</c:v>
                </c:pt>
                <c:pt idx="112">
                  <c:v>-5.6119700582638765E-2</c:v>
                </c:pt>
                <c:pt idx="113">
                  <c:v>-5.6119700582638765E-2</c:v>
                </c:pt>
                <c:pt idx="114">
                  <c:v>-5.5894323939757795E-2</c:v>
                </c:pt>
                <c:pt idx="115">
                  <c:v>-5.5817051947912893E-2</c:v>
                </c:pt>
                <c:pt idx="116">
                  <c:v>-5.4014038804865133E-2</c:v>
                </c:pt>
                <c:pt idx="117">
                  <c:v>-5.3595482182371923E-2</c:v>
                </c:pt>
                <c:pt idx="118">
                  <c:v>-5.3331469543568488E-2</c:v>
                </c:pt>
                <c:pt idx="119">
                  <c:v>-5.1586410394404425E-2</c:v>
                </c:pt>
                <c:pt idx="120">
                  <c:v>-5.1373912416830952E-2</c:v>
                </c:pt>
                <c:pt idx="121">
                  <c:v>-5.1161414439257452E-2</c:v>
                </c:pt>
                <c:pt idx="122">
                  <c:v>-4.9789836584010427E-2</c:v>
                </c:pt>
                <c:pt idx="123">
                  <c:v>-4.9384158626824687E-2</c:v>
                </c:pt>
                <c:pt idx="124">
                  <c:v>-4.9017116665561383E-2</c:v>
                </c:pt>
                <c:pt idx="125">
                  <c:v>-4.7426601500087151E-2</c:v>
                </c:pt>
                <c:pt idx="126">
                  <c:v>-4.730425417966605E-2</c:v>
                </c:pt>
                <c:pt idx="127">
                  <c:v>-4.7233421520474883E-2</c:v>
                </c:pt>
                <c:pt idx="128">
                  <c:v>-4.7220542855167386E-2</c:v>
                </c:pt>
                <c:pt idx="129">
                  <c:v>-4.4715642452861776E-2</c:v>
                </c:pt>
                <c:pt idx="130">
                  <c:v>-4.4664127791631841E-2</c:v>
                </c:pt>
                <c:pt idx="131">
                  <c:v>-4.4503144475288303E-2</c:v>
                </c:pt>
                <c:pt idx="132">
                  <c:v>-4.2803160654700412E-2</c:v>
                </c:pt>
                <c:pt idx="133">
                  <c:v>-4.0439925570777135E-2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84-4A5C-8EEC-61BBD4B616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53">
                  <c:v>-6.8189999998139683E-2</c:v>
                </c:pt>
                <c:pt idx="61">
                  <c:v>-3.7646000004315283E-2</c:v>
                </c:pt>
                <c:pt idx="96">
                  <c:v>-5.1910999995016027E-2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84-4A5C-8EEC-61BBD4B61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206872"/>
        <c:axId val="1"/>
      </c:scatterChart>
      <c:valAx>
        <c:axId val="811206872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6530363611089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06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78225852609544"/>
          <c:y val="0.92073298764483702"/>
          <c:w val="0.749222328517346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Leo - O-C Diagr.</a:t>
            </a:r>
          </a:p>
        </c:rich>
      </c:tx>
      <c:layout>
        <c:manualLayout>
          <c:xMode val="edge"/>
          <c:yMode val="edge"/>
          <c:x val="0.3841371850291652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58966565349544"/>
          <c:w val="0.81493063439401059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2.7780000018537976E-3</c:v>
                </c:pt>
                <c:pt idx="1">
                  <c:v>-6.1879999993834645E-3</c:v>
                </c:pt>
                <c:pt idx="2">
                  <c:v>-2.0000000004074536E-3</c:v>
                </c:pt>
                <c:pt idx="3">
                  <c:v>0</c:v>
                </c:pt>
                <c:pt idx="4">
                  <c:v>-9.9059999993187375E-3</c:v>
                </c:pt>
                <c:pt idx="5">
                  <c:v>2.5880000001052395E-2</c:v>
                </c:pt>
                <c:pt idx="6">
                  <c:v>8.1360000003769528E-3</c:v>
                </c:pt>
                <c:pt idx="7">
                  <c:v>-4.0829999998095445E-2</c:v>
                </c:pt>
                <c:pt idx="8">
                  <c:v>2.0110000001295703E-2</c:v>
                </c:pt>
                <c:pt idx="9">
                  <c:v>2.0399999993969686E-4</c:v>
                </c:pt>
                <c:pt idx="10">
                  <c:v>-2.6045999999041669E-2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75-4FB3-8608-2D1CE6AA7C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Active!$D$22:$D$43</c:f>
                <c:numCache>
                  <c:formatCode>General</c:formatCode>
                  <c:ptCount val="22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1">
                  <c:v>-2.1071999995911028E-2</c:v>
                </c:pt>
                <c:pt idx="12">
                  <c:v>1.0639999964041635E-3</c:v>
                </c:pt>
                <c:pt idx="13">
                  <c:v>2.0980000044801272E-3</c:v>
                </c:pt>
                <c:pt idx="14">
                  <c:v>1.5098000003490597E-2</c:v>
                </c:pt>
                <c:pt idx="15">
                  <c:v>-7.8807999998389278E-2</c:v>
                </c:pt>
                <c:pt idx="16">
                  <c:v>1.8192000003182329E-2</c:v>
                </c:pt>
                <c:pt idx="17">
                  <c:v>-1.8459999992046505E-3</c:v>
                </c:pt>
                <c:pt idx="18">
                  <c:v>1.1392000000341795E-2</c:v>
                </c:pt>
                <c:pt idx="19">
                  <c:v>1.4260000025387853E-3</c:v>
                </c:pt>
                <c:pt idx="20">
                  <c:v>-1.1239999999816064E-2</c:v>
                </c:pt>
                <c:pt idx="21">
                  <c:v>5.5859999993117526E-3</c:v>
                </c:pt>
                <c:pt idx="22">
                  <c:v>-3.3479999983683228E-3</c:v>
                </c:pt>
                <c:pt idx="23">
                  <c:v>4.0019999942160212E-3</c:v>
                </c:pt>
                <c:pt idx="24">
                  <c:v>-2.7790000000095461E-2</c:v>
                </c:pt>
                <c:pt idx="25">
                  <c:v>8.4999999962747097E-3</c:v>
                </c:pt>
                <c:pt idx="26">
                  <c:v>-1.5716000001702923E-2</c:v>
                </c:pt>
                <c:pt idx="27">
                  <c:v>-1.2790000000677537E-2</c:v>
                </c:pt>
                <c:pt idx="28">
                  <c:v>-6.7899999994551763E-3</c:v>
                </c:pt>
                <c:pt idx="29">
                  <c:v>1.2099999948986806E-3</c:v>
                </c:pt>
                <c:pt idx="30">
                  <c:v>-1.3696000001800712E-2</c:v>
                </c:pt>
                <c:pt idx="31">
                  <c:v>-6.7220000055385754E-3</c:v>
                </c:pt>
                <c:pt idx="32">
                  <c:v>-1.0551999999734107E-2</c:v>
                </c:pt>
                <c:pt idx="33">
                  <c:v>1.9380000012461096E-3</c:v>
                </c:pt>
                <c:pt idx="34">
                  <c:v>-4.6690000002854504E-2</c:v>
                </c:pt>
                <c:pt idx="35">
                  <c:v>-5.5120000033639371E-3</c:v>
                </c:pt>
                <c:pt idx="36">
                  <c:v>-3.0334000002767425E-2</c:v>
                </c:pt>
                <c:pt idx="37">
                  <c:v>-2.8138000001490582E-2</c:v>
                </c:pt>
                <c:pt idx="38">
                  <c:v>-3.3014000000548549E-2</c:v>
                </c:pt>
                <c:pt idx="39">
                  <c:v>-1.7481999995652586E-2</c:v>
                </c:pt>
                <c:pt idx="40">
                  <c:v>-3.242599999794038E-2</c:v>
                </c:pt>
                <c:pt idx="41">
                  <c:v>-3.682200000184821E-2</c:v>
                </c:pt>
                <c:pt idx="42">
                  <c:v>-3.4599999999045394E-2</c:v>
                </c:pt>
                <c:pt idx="43">
                  <c:v>-3.3547999999427702E-2</c:v>
                </c:pt>
                <c:pt idx="44">
                  <c:v>-1.5297999998438172E-2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75-4FB3-8608-2D1CE6AA7C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5">
                  <c:v>-3.5218000004533678E-2</c:v>
                </c:pt>
                <c:pt idx="46">
                  <c:v>-4.034999999566935E-2</c:v>
                </c:pt>
                <c:pt idx="47">
                  <c:v>-3.9949999998498242E-2</c:v>
                </c:pt>
                <c:pt idx="48">
                  <c:v>-4.1330000007292256E-2</c:v>
                </c:pt>
                <c:pt idx="49">
                  <c:v>-4.4382000007317401E-2</c:v>
                </c:pt>
                <c:pt idx="50">
                  <c:v>-4.5254000004206318E-2</c:v>
                </c:pt>
                <c:pt idx="51">
                  <c:v>-4.5426000004226808E-2</c:v>
                </c:pt>
                <c:pt idx="52">
                  <c:v>-5.3477999994356651E-2</c:v>
                </c:pt>
                <c:pt idx="54">
                  <c:v>-5.3544000002148096E-2</c:v>
                </c:pt>
                <c:pt idx="55">
                  <c:v>-5.5297999999311287E-2</c:v>
                </c:pt>
                <c:pt idx="56">
                  <c:v>-5.4847999999765307E-2</c:v>
                </c:pt>
                <c:pt idx="57">
                  <c:v>-5.6693999998969957E-2</c:v>
                </c:pt>
                <c:pt idx="58">
                  <c:v>-5.9871999997994862E-2</c:v>
                </c:pt>
                <c:pt idx="60">
                  <c:v>-5.7662000006530434E-2</c:v>
                </c:pt>
                <c:pt idx="65">
                  <c:v>-6.1331999997491948E-2</c:v>
                </c:pt>
                <c:pt idx="70">
                  <c:v>-6.2239999992016237E-2</c:v>
                </c:pt>
                <c:pt idx="73">
                  <c:v>-6.1968000001797918E-2</c:v>
                </c:pt>
                <c:pt idx="83">
                  <c:v>-6.4109999992069788E-2</c:v>
                </c:pt>
                <c:pt idx="84">
                  <c:v>-6.8376000002899673E-2</c:v>
                </c:pt>
                <c:pt idx="95">
                  <c:v>-5.7598999999754597E-2</c:v>
                </c:pt>
                <c:pt idx="99">
                  <c:v>-6.4160000001720618E-2</c:v>
                </c:pt>
                <c:pt idx="107">
                  <c:v>-5.5377000004227739E-2</c:v>
                </c:pt>
                <c:pt idx="114">
                  <c:v>-5.6537999997090083E-2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75-4FB3-8608-2D1CE6AA7C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9">
                  <c:v>-5.4489999994984828E-2</c:v>
                </c:pt>
                <c:pt idx="62">
                  <c:v>-5.8551999994961079E-2</c:v>
                </c:pt>
                <c:pt idx="63">
                  <c:v>-5.5416000002878718E-2</c:v>
                </c:pt>
                <c:pt idx="64">
                  <c:v>-6.1090000002877787E-2</c:v>
                </c:pt>
                <c:pt idx="66">
                  <c:v>-5.9271999998600222E-2</c:v>
                </c:pt>
                <c:pt idx="67">
                  <c:v>-6.1021999994409271E-2</c:v>
                </c:pt>
                <c:pt idx="68">
                  <c:v>-5.6797999997797888E-2</c:v>
                </c:pt>
                <c:pt idx="69">
                  <c:v>-5.566200000612298E-2</c:v>
                </c:pt>
                <c:pt idx="71">
                  <c:v>0</c:v>
                </c:pt>
                <c:pt idx="72">
                  <c:v>-7.1075999992899597E-2</c:v>
                </c:pt>
                <c:pt idx="74">
                  <c:v>-6.4767999996547587E-2</c:v>
                </c:pt>
                <c:pt idx="76">
                  <c:v>-6.2797999999020249E-2</c:v>
                </c:pt>
                <c:pt idx="77">
                  <c:v>-6.4384000004793052E-2</c:v>
                </c:pt>
                <c:pt idx="78">
                  <c:v>-6.9053999999596272E-2</c:v>
                </c:pt>
                <c:pt idx="79">
                  <c:v>-6.9004000004497357E-2</c:v>
                </c:pt>
                <c:pt idx="80">
                  <c:v>-6.9092000005184673E-2</c:v>
                </c:pt>
                <c:pt idx="81">
                  <c:v>-6.8771999998716637E-2</c:v>
                </c:pt>
                <c:pt idx="82">
                  <c:v>-6.7302000003110152E-2</c:v>
                </c:pt>
                <c:pt idx="85">
                  <c:v>-6.5321999994921498E-2</c:v>
                </c:pt>
                <c:pt idx="86">
                  <c:v>-6.6528000003017951E-2</c:v>
                </c:pt>
                <c:pt idx="87">
                  <c:v>-6.9364000002678949E-2</c:v>
                </c:pt>
                <c:pt idx="88">
                  <c:v>-6.8409999999857973E-2</c:v>
                </c:pt>
                <c:pt idx="89">
                  <c:v>-6.4978000002156477E-2</c:v>
                </c:pt>
                <c:pt idx="90">
                  <c:v>-6.4599999997881241E-2</c:v>
                </c:pt>
                <c:pt idx="91">
                  <c:v>-6.2603999998827931E-2</c:v>
                </c:pt>
                <c:pt idx="92">
                  <c:v>-6.700999999884516E-2</c:v>
                </c:pt>
                <c:pt idx="93">
                  <c:v>-6.3181999998050742E-2</c:v>
                </c:pt>
                <c:pt idx="94">
                  <c:v>-6.3168000000587199E-2</c:v>
                </c:pt>
                <c:pt idx="97">
                  <c:v>-6.4504000001761597E-2</c:v>
                </c:pt>
                <c:pt idx="98">
                  <c:v>-6.3904000002366956E-2</c:v>
                </c:pt>
                <c:pt idx="100">
                  <c:v>-6.3654000005044509E-2</c:v>
                </c:pt>
                <c:pt idx="101">
                  <c:v>-6.2454000006255228E-2</c:v>
                </c:pt>
                <c:pt idx="102">
                  <c:v>-6.1998000004678033E-2</c:v>
                </c:pt>
                <c:pt idx="103">
                  <c:v>-6.3851999999315012E-2</c:v>
                </c:pt>
                <c:pt idx="104">
                  <c:v>-6.3351999997394159E-2</c:v>
                </c:pt>
                <c:pt idx="105">
                  <c:v>-6.2952000000223052E-2</c:v>
                </c:pt>
                <c:pt idx="106">
                  <c:v>-5.9842000002390705E-2</c:v>
                </c:pt>
                <c:pt idx="108">
                  <c:v>-5.902599999535596E-2</c:v>
                </c:pt>
                <c:pt idx="109">
                  <c:v>-5.902599999535596E-2</c:v>
                </c:pt>
                <c:pt idx="110">
                  <c:v>-5.6082000002788845E-2</c:v>
                </c:pt>
                <c:pt idx="111">
                  <c:v>-5.9377999998105224E-2</c:v>
                </c:pt>
                <c:pt idx="112">
                  <c:v>-5.9357999998610467E-2</c:v>
                </c:pt>
                <c:pt idx="113">
                  <c:v>-5.8317999995779246E-2</c:v>
                </c:pt>
                <c:pt idx="115">
                  <c:v>-5.9610000003885943E-2</c:v>
                </c:pt>
                <c:pt idx="116">
                  <c:v>-5.6089999998221174E-2</c:v>
                </c:pt>
                <c:pt idx="117">
                  <c:v>-5.7580000007874332E-2</c:v>
                </c:pt>
                <c:pt idx="118">
                  <c:v>-5.6385999996564351E-2</c:v>
                </c:pt>
                <c:pt idx="119">
                  <c:v>-5.1751999999396503E-2</c:v>
                </c:pt>
                <c:pt idx="120">
                  <c:v>-5.3350000001955777E-2</c:v>
                </c:pt>
                <c:pt idx="121">
                  <c:v>-5.564800000138348E-2</c:v>
                </c:pt>
                <c:pt idx="122">
                  <c:v>-5.1425999998173211E-2</c:v>
                </c:pt>
                <c:pt idx="123">
                  <c:v>-4.8084000052767806E-2</c:v>
                </c:pt>
                <c:pt idx="124">
                  <c:v>-4.8945999995339662E-2</c:v>
                </c:pt>
                <c:pt idx="125">
                  <c:v>-4.5727999997325242E-2</c:v>
                </c:pt>
                <c:pt idx="126">
                  <c:v>-4.5442000002367422E-2</c:v>
                </c:pt>
                <c:pt idx="127">
                  <c:v>-4.6107999995001592E-2</c:v>
                </c:pt>
                <c:pt idx="128">
                  <c:v>-4.6419999998761341E-2</c:v>
                </c:pt>
                <c:pt idx="129">
                  <c:v>-4.2553999999654479E-2</c:v>
                </c:pt>
                <c:pt idx="130">
                  <c:v>-4.1802000007010065E-2</c:v>
                </c:pt>
                <c:pt idx="131">
                  <c:v>-4.4351999997161329E-2</c:v>
                </c:pt>
                <c:pt idx="132">
                  <c:v>-4.0035999998508487E-2</c:v>
                </c:pt>
                <c:pt idx="133">
                  <c:v>-3.7038000002212357E-2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75-4FB3-8608-2D1CE6AA7C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75-4FB3-8608-2D1CE6AA7C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75-4FB3-8608-2D1CE6AA7C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41">
                    <c:v>5.0000000000000001E-3</c:v>
                  </c:pt>
                  <c:pt idx="46">
                    <c:v>1.6999999999999999E-3</c:v>
                  </c:pt>
                  <c:pt idx="47">
                    <c:v>1.6999999999999999E-3</c:v>
                  </c:pt>
                  <c:pt idx="49">
                    <c:v>1.6000000000000001E-3</c:v>
                  </c:pt>
                  <c:pt idx="50">
                    <c:v>1E-3</c:v>
                  </c:pt>
                  <c:pt idx="51">
                    <c:v>2.5000000000000001E-3</c:v>
                  </c:pt>
                  <c:pt idx="58">
                    <c:v>2.9999999999999997E-4</c:v>
                  </c:pt>
                  <c:pt idx="60">
                    <c:v>5.9999999999999995E-4</c:v>
                  </c:pt>
                  <c:pt idx="64">
                    <c:v>1E-4</c:v>
                  </c:pt>
                  <c:pt idx="65">
                    <c:v>6.8999999999999999E-3</c:v>
                  </c:pt>
                  <c:pt idx="66">
                    <c:v>2.5999999999999999E-3</c:v>
                  </c:pt>
                  <c:pt idx="67">
                    <c:v>2.0000000000000001E-4</c:v>
                  </c:pt>
                  <c:pt idx="70">
                    <c:v>5.0000000000000001E-4</c:v>
                  </c:pt>
                  <c:pt idx="7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75-4FB3-8608-2D1CE6AA7C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</c:v>
                </c:pt>
                <c:pt idx="1">
                  <c:v>-2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20</c:v>
                </c:pt>
                <c:pt idx="6">
                  <c:v>44</c:v>
                </c:pt>
                <c:pt idx="7">
                  <c:v>55</c:v>
                </c:pt>
                <c:pt idx="8">
                  <c:v>65</c:v>
                </c:pt>
                <c:pt idx="9">
                  <c:v>66</c:v>
                </c:pt>
                <c:pt idx="10">
                  <c:v>10691</c:v>
                </c:pt>
                <c:pt idx="11">
                  <c:v>10712</c:v>
                </c:pt>
                <c:pt idx="12">
                  <c:v>10756</c:v>
                </c:pt>
                <c:pt idx="13">
                  <c:v>10767</c:v>
                </c:pt>
                <c:pt idx="14">
                  <c:v>10767</c:v>
                </c:pt>
                <c:pt idx="15">
                  <c:v>10768</c:v>
                </c:pt>
                <c:pt idx="16">
                  <c:v>10768</c:v>
                </c:pt>
                <c:pt idx="17">
                  <c:v>10991</c:v>
                </c:pt>
                <c:pt idx="18">
                  <c:v>11068</c:v>
                </c:pt>
                <c:pt idx="19">
                  <c:v>11079</c:v>
                </c:pt>
                <c:pt idx="20">
                  <c:v>12040</c:v>
                </c:pt>
                <c:pt idx="21">
                  <c:v>12219</c:v>
                </c:pt>
                <c:pt idx="22">
                  <c:v>12358</c:v>
                </c:pt>
                <c:pt idx="23">
                  <c:v>12383</c:v>
                </c:pt>
                <c:pt idx="24">
                  <c:v>12715</c:v>
                </c:pt>
                <c:pt idx="25">
                  <c:v>12750</c:v>
                </c:pt>
                <c:pt idx="26">
                  <c:v>13386</c:v>
                </c:pt>
                <c:pt idx="27">
                  <c:v>13715</c:v>
                </c:pt>
                <c:pt idx="28">
                  <c:v>13715</c:v>
                </c:pt>
                <c:pt idx="29">
                  <c:v>13715</c:v>
                </c:pt>
                <c:pt idx="30">
                  <c:v>13716</c:v>
                </c:pt>
                <c:pt idx="31">
                  <c:v>13737</c:v>
                </c:pt>
                <c:pt idx="32">
                  <c:v>13792</c:v>
                </c:pt>
                <c:pt idx="33">
                  <c:v>14127</c:v>
                </c:pt>
                <c:pt idx="34">
                  <c:v>14365</c:v>
                </c:pt>
                <c:pt idx="35">
                  <c:v>14452</c:v>
                </c:pt>
                <c:pt idx="36">
                  <c:v>15039</c:v>
                </c:pt>
                <c:pt idx="37">
                  <c:v>15073</c:v>
                </c:pt>
                <c:pt idx="38">
                  <c:v>15319</c:v>
                </c:pt>
                <c:pt idx="39">
                  <c:v>15697</c:v>
                </c:pt>
                <c:pt idx="40">
                  <c:v>16421</c:v>
                </c:pt>
                <c:pt idx="41">
                  <c:v>17087</c:v>
                </c:pt>
                <c:pt idx="42">
                  <c:v>17100</c:v>
                </c:pt>
                <c:pt idx="43">
                  <c:v>17108</c:v>
                </c:pt>
                <c:pt idx="44">
                  <c:v>17433</c:v>
                </c:pt>
                <c:pt idx="45">
                  <c:v>17453</c:v>
                </c:pt>
                <c:pt idx="46">
                  <c:v>17475</c:v>
                </c:pt>
                <c:pt idx="47">
                  <c:v>17475</c:v>
                </c:pt>
                <c:pt idx="48">
                  <c:v>17755</c:v>
                </c:pt>
                <c:pt idx="49">
                  <c:v>18097</c:v>
                </c:pt>
                <c:pt idx="50">
                  <c:v>18109</c:v>
                </c:pt>
                <c:pt idx="51">
                  <c:v>18421</c:v>
                </c:pt>
                <c:pt idx="52">
                  <c:v>19113</c:v>
                </c:pt>
                <c:pt idx="53">
                  <c:v>19115</c:v>
                </c:pt>
                <c:pt idx="54">
                  <c:v>19124</c:v>
                </c:pt>
                <c:pt idx="55">
                  <c:v>19433</c:v>
                </c:pt>
                <c:pt idx="56">
                  <c:v>19458</c:v>
                </c:pt>
                <c:pt idx="57">
                  <c:v>19699</c:v>
                </c:pt>
                <c:pt idx="58">
                  <c:v>19712</c:v>
                </c:pt>
                <c:pt idx="59">
                  <c:v>19715</c:v>
                </c:pt>
                <c:pt idx="60">
                  <c:v>19777</c:v>
                </c:pt>
                <c:pt idx="61">
                  <c:v>19791</c:v>
                </c:pt>
                <c:pt idx="62">
                  <c:v>19792</c:v>
                </c:pt>
                <c:pt idx="63">
                  <c:v>19836</c:v>
                </c:pt>
                <c:pt idx="64">
                  <c:v>20115</c:v>
                </c:pt>
                <c:pt idx="65">
                  <c:v>20122</c:v>
                </c:pt>
                <c:pt idx="66">
                  <c:v>20122</c:v>
                </c:pt>
                <c:pt idx="67">
                  <c:v>20137</c:v>
                </c:pt>
                <c:pt idx="68">
                  <c:v>20333</c:v>
                </c:pt>
                <c:pt idx="69">
                  <c:v>20377</c:v>
                </c:pt>
                <c:pt idx="70">
                  <c:v>20390</c:v>
                </c:pt>
                <c:pt idx="71">
                  <c:v>20393</c:v>
                </c:pt>
                <c:pt idx="72">
                  <c:v>20446</c:v>
                </c:pt>
                <c:pt idx="73">
                  <c:v>20478</c:v>
                </c:pt>
                <c:pt idx="74">
                  <c:v>20678</c:v>
                </c:pt>
                <c:pt idx="75">
                  <c:v>20725</c:v>
                </c:pt>
                <c:pt idx="76">
                  <c:v>20823</c:v>
                </c:pt>
                <c:pt idx="77">
                  <c:v>21014</c:v>
                </c:pt>
                <c:pt idx="78">
                  <c:v>21059</c:v>
                </c:pt>
                <c:pt idx="79">
                  <c:v>21059</c:v>
                </c:pt>
                <c:pt idx="80">
                  <c:v>21082</c:v>
                </c:pt>
                <c:pt idx="81">
                  <c:v>21112</c:v>
                </c:pt>
                <c:pt idx="82">
                  <c:v>21117</c:v>
                </c:pt>
                <c:pt idx="83">
                  <c:v>21135</c:v>
                </c:pt>
                <c:pt idx="84">
                  <c:v>21146</c:v>
                </c:pt>
                <c:pt idx="85">
                  <c:v>21437</c:v>
                </c:pt>
                <c:pt idx="86">
                  <c:v>21438</c:v>
                </c:pt>
                <c:pt idx="87">
                  <c:v>21494</c:v>
                </c:pt>
                <c:pt idx="88">
                  <c:v>21835</c:v>
                </c:pt>
                <c:pt idx="89">
                  <c:v>22113</c:v>
                </c:pt>
                <c:pt idx="90">
                  <c:v>22150</c:v>
                </c:pt>
                <c:pt idx="91">
                  <c:v>22384</c:v>
                </c:pt>
                <c:pt idx="92">
                  <c:v>22385</c:v>
                </c:pt>
                <c:pt idx="93">
                  <c:v>22397</c:v>
                </c:pt>
                <c:pt idx="94">
                  <c:v>22428</c:v>
                </c:pt>
                <c:pt idx="95">
                  <c:v>22441.5</c:v>
                </c:pt>
                <c:pt idx="96">
                  <c:v>22443.5</c:v>
                </c:pt>
                <c:pt idx="97">
                  <c:v>22459</c:v>
                </c:pt>
                <c:pt idx="98">
                  <c:v>22459</c:v>
                </c:pt>
                <c:pt idx="99">
                  <c:v>22460</c:v>
                </c:pt>
                <c:pt idx="100">
                  <c:v>22469</c:v>
                </c:pt>
                <c:pt idx="101">
                  <c:v>22469</c:v>
                </c:pt>
                <c:pt idx="102">
                  <c:v>22783</c:v>
                </c:pt>
                <c:pt idx="103">
                  <c:v>22792</c:v>
                </c:pt>
                <c:pt idx="104">
                  <c:v>22792</c:v>
                </c:pt>
                <c:pt idx="105">
                  <c:v>22792</c:v>
                </c:pt>
                <c:pt idx="106">
                  <c:v>22807</c:v>
                </c:pt>
                <c:pt idx="107">
                  <c:v>23454.5</c:v>
                </c:pt>
                <c:pt idx="108">
                  <c:v>23721</c:v>
                </c:pt>
                <c:pt idx="109">
                  <c:v>23721</c:v>
                </c:pt>
                <c:pt idx="110">
                  <c:v>23727</c:v>
                </c:pt>
                <c:pt idx="111">
                  <c:v>23738</c:v>
                </c:pt>
                <c:pt idx="112">
                  <c:v>23738</c:v>
                </c:pt>
                <c:pt idx="113">
                  <c:v>23738</c:v>
                </c:pt>
                <c:pt idx="114">
                  <c:v>23773</c:v>
                </c:pt>
                <c:pt idx="115">
                  <c:v>23785</c:v>
                </c:pt>
                <c:pt idx="116">
                  <c:v>24065</c:v>
                </c:pt>
                <c:pt idx="117">
                  <c:v>24130</c:v>
                </c:pt>
                <c:pt idx="118">
                  <c:v>24171</c:v>
                </c:pt>
                <c:pt idx="119">
                  <c:v>24442</c:v>
                </c:pt>
                <c:pt idx="120">
                  <c:v>24475</c:v>
                </c:pt>
                <c:pt idx="121">
                  <c:v>24508</c:v>
                </c:pt>
                <c:pt idx="122">
                  <c:v>24721</c:v>
                </c:pt>
                <c:pt idx="123">
                  <c:v>24784</c:v>
                </c:pt>
                <c:pt idx="124">
                  <c:v>24841</c:v>
                </c:pt>
                <c:pt idx="125">
                  <c:v>25088</c:v>
                </c:pt>
                <c:pt idx="126">
                  <c:v>25107</c:v>
                </c:pt>
                <c:pt idx="127">
                  <c:v>25118</c:v>
                </c:pt>
                <c:pt idx="128">
                  <c:v>25120</c:v>
                </c:pt>
                <c:pt idx="129">
                  <c:v>25509</c:v>
                </c:pt>
                <c:pt idx="130">
                  <c:v>25517</c:v>
                </c:pt>
                <c:pt idx="131">
                  <c:v>25542</c:v>
                </c:pt>
                <c:pt idx="132">
                  <c:v>25806</c:v>
                </c:pt>
                <c:pt idx="133">
                  <c:v>26173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70">
                  <c:v>-7.7678586307366765E-2</c:v>
                </c:pt>
                <c:pt idx="71">
                  <c:v>-7.7659268309405532E-2</c:v>
                </c:pt>
                <c:pt idx="72">
                  <c:v>-7.7317983678757224E-2</c:v>
                </c:pt>
                <c:pt idx="73">
                  <c:v>-7.7111925033837486E-2</c:v>
                </c:pt>
                <c:pt idx="74">
                  <c:v>-7.5824058503089098E-2</c:v>
                </c:pt>
                <c:pt idx="75">
                  <c:v>-7.5521409868363226E-2</c:v>
                </c:pt>
                <c:pt idx="76">
                  <c:v>-7.4890355268296516E-2</c:v>
                </c:pt>
                <c:pt idx="77">
                  <c:v>-7.3660442731431797E-2</c:v>
                </c:pt>
                <c:pt idx="78">
                  <c:v>-7.3370672762013395E-2</c:v>
                </c:pt>
                <c:pt idx="79">
                  <c:v>-7.3370672762013395E-2</c:v>
                </c:pt>
                <c:pt idx="80">
                  <c:v>-7.3222568110977354E-2</c:v>
                </c:pt>
                <c:pt idx="81">
                  <c:v>-7.3029388131365086E-2</c:v>
                </c:pt>
                <c:pt idx="82">
                  <c:v>-7.2997191468096384E-2</c:v>
                </c:pt>
                <c:pt idx="83">
                  <c:v>-7.2881283480329018E-2</c:v>
                </c:pt>
                <c:pt idx="84">
                  <c:v>-7.2810450821137851E-2</c:v>
                </c:pt>
                <c:pt idx="85">
                  <c:v>-7.0936605018898952E-2</c:v>
                </c:pt>
                <c:pt idx="86">
                  <c:v>-7.0930165686245217E-2</c:v>
                </c:pt>
                <c:pt idx="87">
                  <c:v>-7.0569563057635676E-2</c:v>
                </c:pt>
                <c:pt idx="88">
                  <c:v>-6.8373750622709673E-2</c:v>
                </c:pt>
                <c:pt idx="89">
                  <c:v>-6.658361614496941E-2</c:v>
                </c:pt>
                <c:pt idx="90">
                  <c:v>-6.6345360836780942E-2</c:v>
                </c:pt>
                <c:pt idx="91">
                  <c:v>-6.4838556995805346E-2</c:v>
                </c:pt>
                <c:pt idx="92">
                  <c:v>-6.4832117663151584E-2</c:v>
                </c:pt>
                <c:pt idx="93">
                  <c:v>-6.4754845671306682E-2</c:v>
                </c:pt>
                <c:pt idx="94">
                  <c:v>-6.4555226359040679E-2</c:v>
                </c:pt>
                <c:pt idx="95">
                  <c:v>-6.4468295368215189E-2</c:v>
                </c:pt>
                <c:pt idx="96">
                  <c:v>-6.4455416702907692E-2</c:v>
                </c:pt>
                <c:pt idx="97">
                  <c:v>-6.4355607046774704E-2</c:v>
                </c:pt>
                <c:pt idx="98">
                  <c:v>-6.4355607046774704E-2</c:v>
                </c:pt>
                <c:pt idx="99">
                  <c:v>-6.4349167714120942E-2</c:v>
                </c:pt>
                <c:pt idx="100">
                  <c:v>-6.4291213720237272E-2</c:v>
                </c:pt>
                <c:pt idx="101">
                  <c:v>-6.4291213720237272E-2</c:v>
                </c:pt>
                <c:pt idx="102">
                  <c:v>-6.2269263266962305E-2</c:v>
                </c:pt>
                <c:pt idx="103">
                  <c:v>-6.2211309273078635E-2</c:v>
                </c:pt>
                <c:pt idx="104">
                  <c:v>-6.2211309273078635E-2</c:v>
                </c:pt>
                <c:pt idx="105">
                  <c:v>-6.2211309273078635E-2</c:v>
                </c:pt>
                <c:pt idx="106">
                  <c:v>-6.2114719283272501E-2</c:v>
                </c:pt>
                <c:pt idx="107">
                  <c:v>-5.7945251389974584E-2</c:v>
                </c:pt>
                <c:pt idx="108">
                  <c:v>-5.6229169237752369E-2</c:v>
                </c:pt>
                <c:pt idx="109">
                  <c:v>-5.6229169237752369E-2</c:v>
                </c:pt>
                <c:pt idx="110">
                  <c:v>-5.6190533241829904E-2</c:v>
                </c:pt>
                <c:pt idx="111">
                  <c:v>-5.6119700582638765E-2</c:v>
                </c:pt>
                <c:pt idx="112">
                  <c:v>-5.6119700582638765E-2</c:v>
                </c:pt>
                <c:pt idx="113">
                  <c:v>-5.6119700582638765E-2</c:v>
                </c:pt>
                <c:pt idx="114">
                  <c:v>-5.5894323939757795E-2</c:v>
                </c:pt>
                <c:pt idx="115">
                  <c:v>-5.5817051947912893E-2</c:v>
                </c:pt>
                <c:pt idx="116">
                  <c:v>-5.4014038804865133E-2</c:v>
                </c:pt>
                <c:pt idx="117">
                  <c:v>-5.3595482182371923E-2</c:v>
                </c:pt>
                <c:pt idx="118">
                  <c:v>-5.3331469543568488E-2</c:v>
                </c:pt>
                <c:pt idx="119">
                  <c:v>-5.1586410394404425E-2</c:v>
                </c:pt>
                <c:pt idx="120">
                  <c:v>-5.1373912416830952E-2</c:v>
                </c:pt>
                <c:pt idx="121">
                  <c:v>-5.1161414439257452E-2</c:v>
                </c:pt>
                <c:pt idx="122">
                  <c:v>-4.9789836584010427E-2</c:v>
                </c:pt>
                <c:pt idx="123">
                  <c:v>-4.9384158626824687E-2</c:v>
                </c:pt>
                <c:pt idx="124">
                  <c:v>-4.9017116665561383E-2</c:v>
                </c:pt>
                <c:pt idx="125">
                  <c:v>-4.7426601500087151E-2</c:v>
                </c:pt>
                <c:pt idx="126">
                  <c:v>-4.730425417966605E-2</c:v>
                </c:pt>
                <c:pt idx="127">
                  <c:v>-4.7233421520474883E-2</c:v>
                </c:pt>
                <c:pt idx="128">
                  <c:v>-4.7220542855167386E-2</c:v>
                </c:pt>
                <c:pt idx="129">
                  <c:v>-4.4715642452861776E-2</c:v>
                </c:pt>
                <c:pt idx="130">
                  <c:v>-4.4664127791631841E-2</c:v>
                </c:pt>
                <c:pt idx="131">
                  <c:v>-4.4503144475288303E-2</c:v>
                </c:pt>
                <c:pt idx="132">
                  <c:v>-4.2803160654700412E-2</c:v>
                </c:pt>
                <c:pt idx="133">
                  <c:v>-4.0439925570777135E-2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75-4FB3-8608-2D1CE6AA7C6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10000</c:v>
                </c:pt>
                <c:pt idx="1">
                  <c:v>11000</c:v>
                </c:pt>
                <c:pt idx="2">
                  <c:v>12000</c:v>
                </c:pt>
                <c:pt idx="3">
                  <c:v>13000</c:v>
                </c:pt>
                <c:pt idx="4">
                  <c:v>14000</c:v>
                </c:pt>
                <c:pt idx="5">
                  <c:v>15000</c:v>
                </c:pt>
                <c:pt idx="6">
                  <c:v>16000</c:v>
                </c:pt>
                <c:pt idx="7">
                  <c:v>17000</c:v>
                </c:pt>
                <c:pt idx="8">
                  <c:v>18000</c:v>
                </c:pt>
                <c:pt idx="9">
                  <c:v>19000</c:v>
                </c:pt>
                <c:pt idx="10">
                  <c:v>20000</c:v>
                </c:pt>
                <c:pt idx="11">
                  <c:v>21000</c:v>
                </c:pt>
                <c:pt idx="12">
                  <c:v>22000</c:v>
                </c:pt>
                <c:pt idx="13">
                  <c:v>23000</c:v>
                </c:pt>
                <c:pt idx="14">
                  <c:v>24000</c:v>
                </c:pt>
                <c:pt idx="15">
                  <c:v>25000</c:v>
                </c:pt>
                <c:pt idx="16">
                  <c:v>26000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0.1700531136531184</c:v>
                </c:pt>
                <c:pt idx="1">
                  <c:v>0.12994362795349601</c:v>
                </c:pt>
                <c:pt idx="2">
                  <c:v>9.3596895652956313E-2</c:v>
                </c:pt>
                <c:pt idx="3">
                  <c:v>6.1012916751499224E-2</c:v>
                </c:pt>
                <c:pt idx="4">
                  <c:v>3.2191691249124743E-2</c:v>
                </c:pt>
                <c:pt idx="5">
                  <c:v>7.1332191458332028E-3</c:v>
                </c:pt>
                <c:pt idx="6">
                  <c:v>-1.4162499558375952E-2</c:v>
                </c:pt>
                <c:pt idx="7">
                  <c:v>-3.1695464863502498E-2</c:v>
                </c:pt>
                <c:pt idx="8">
                  <c:v>-4.5465676769546381E-2</c:v>
                </c:pt>
                <c:pt idx="9">
                  <c:v>-5.5473135276507546E-2</c:v>
                </c:pt>
                <c:pt idx="10">
                  <c:v>-6.1717840384386102E-2</c:v>
                </c:pt>
                <c:pt idx="11">
                  <c:v>-6.4199792093182051E-2</c:v>
                </c:pt>
                <c:pt idx="12">
                  <c:v>-6.2918990402895392E-2</c:v>
                </c:pt>
                <c:pt idx="13">
                  <c:v>-5.7875435313526125E-2</c:v>
                </c:pt>
                <c:pt idx="14">
                  <c:v>-4.9069126825074028E-2</c:v>
                </c:pt>
                <c:pt idx="15">
                  <c:v>-3.6500064937539101E-2</c:v>
                </c:pt>
                <c:pt idx="16">
                  <c:v>-2.0168249650922121E-2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75-4FB3-8608-2D1CE6AA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203920"/>
        <c:axId val="1"/>
      </c:scatterChart>
      <c:valAx>
        <c:axId val="81120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03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73888800447376"/>
          <c:y val="0.92097264437689974"/>
          <c:w val="0.7387252176681647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86176675748675E-2"/>
          <c:y val="0.11111135715914904"/>
          <c:w val="0.88888994878704597"/>
          <c:h val="0.77777950011404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Q_fit!$D$21:$D$42</c:f>
              <c:numCache>
                <c:formatCode>General</c:formatCode>
                <c:ptCount val="22"/>
                <c:pt idx="0">
                  <c:v>1.7087000000000001</c:v>
                </c:pt>
                <c:pt idx="1">
                  <c:v>1.7108000000000001</c:v>
                </c:pt>
                <c:pt idx="2">
                  <c:v>1.7475000000000001</c:v>
                </c:pt>
                <c:pt idx="3">
                  <c:v>1.7475000000000001</c:v>
                </c:pt>
                <c:pt idx="4">
                  <c:v>1.8097000000000001</c:v>
                </c:pt>
                <c:pt idx="5">
                  <c:v>1.8109</c:v>
                </c:pt>
                <c:pt idx="6">
                  <c:v>1.8421000000000001</c:v>
                </c:pt>
                <c:pt idx="7">
                  <c:v>1.9712000000000001</c:v>
                </c:pt>
                <c:pt idx="8">
                  <c:v>1.9777</c:v>
                </c:pt>
                <c:pt idx="9">
                  <c:v>2.0114999999999998</c:v>
                </c:pt>
                <c:pt idx="10">
                  <c:v>2.0122</c:v>
                </c:pt>
                <c:pt idx="11">
                  <c:v>2.0122</c:v>
                </c:pt>
                <c:pt idx="12">
                  <c:v>2.0137</c:v>
                </c:pt>
                <c:pt idx="13">
                  <c:v>2.0390000000000001</c:v>
                </c:pt>
                <c:pt idx="14">
                  <c:v>2.0478000000000001</c:v>
                </c:pt>
                <c:pt idx="15">
                  <c:v>2.0823</c:v>
                </c:pt>
                <c:pt idx="16">
                  <c:v>2.1013999999999999</c:v>
                </c:pt>
                <c:pt idx="17">
                  <c:v>2.1059000000000001</c:v>
                </c:pt>
                <c:pt idx="18">
                  <c:v>2.1135000000000002</c:v>
                </c:pt>
                <c:pt idx="19">
                  <c:v>2.1145999999999998</c:v>
                </c:pt>
                <c:pt idx="20">
                  <c:v>2.1436999999999999</c:v>
                </c:pt>
                <c:pt idx="21">
                  <c:v>2.1835</c:v>
                </c:pt>
              </c:numCache>
            </c:numRef>
          </c:xVal>
          <c:yVal>
            <c:numRef>
              <c:f>Q_fit!$E$21:$E$42</c:f>
              <c:numCache>
                <c:formatCode>General</c:formatCode>
                <c:ptCount val="22"/>
                <c:pt idx="0">
                  <c:v>-3.682200000184821E-2</c:v>
                </c:pt>
                <c:pt idx="1">
                  <c:v>-3.3547999999427702E-2</c:v>
                </c:pt>
                <c:pt idx="2">
                  <c:v>-4.034999999566935E-2</c:v>
                </c:pt>
                <c:pt idx="3">
                  <c:v>-3.9949999998498242E-2</c:v>
                </c:pt>
                <c:pt idx="4">
                  <c:v>-4.4382000007317401E-2</c:v>
                </c:pt>
                <c:pt idx="5">
                  <c:v>-4.5254000004206318E-2</c:v>
                </c:pt>
                <c:pt idx="6">
                  <c:v>-4.5426000004226808E-2</c:v>
                </c:pt>
                <c:pt idx="7">
                  <c:v>-5.9871999997994862E-2</c:v>
                </c:pt>
                <c:pt idx="8">
                  <c:v>-5.7662000006530434E-2</c:v>
                </c:pt>
                <c:pt idx="9">
                  <c:v>-6.1090000002877787E-2</c:v>
                </c:pt>
                <c:pt idx="10">
                  <c:v>-6.1331999997491948E-2</c:v>
                </c:pt>
                <c:pt idx="11">
                  <c:v>-5.9271999998600222E-2</c:v>
                </c:pt>
                <c:pt idx="12">
                  <c:v>-6.1021999994409271E-2</c:v>
                </c:pt>
                <c:pt idx="13">
                  <c:v>-6.2239999992016237E-2</c:v>
                </c:pt>
                <c:pt idx="14">
                  <c:v>-6.1968000001797918E-2</c:v>
                </c:pt>
                <c:pt idx="15">
                  <c:v>-6.2797999999020249E-2</c:v>
                </c:pt>
                <c:pt idx="16">
                  <c:v>-6.4384000004793052E-2</c:v>
                </c:pt>
                <c:pt idx="17">
                  <c:v>-6.9004000004497357E-2</c:v>
                </c:pt>
                <c:pt idx="18">
                  <c:v>-6.4109999992069788E-2</c:v>
                </c:pt>
                <c:pt idx="19">
                  <c:v>-6.8376000002899673E-2</c:v>
                </c:pt>
                <c:pt idx="20">
                  <c:v>-6.5321999994921498E-2</c:v>
                </c:pt>
                <c:pt idx="21">
                  <c:v>-6.8409999999857973E-2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E8-4396-967B-347C0C5CD9B1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Q_fit!$D$21:$D$42</c:f>
              <c:numCache>
                <c:formatCode>General</c:formatCode>
                <c:ptCount val="22"/>
                <c:pt idx="0">
                  <c:v>1.7087000000000001</c:v>
                </c:pt>
                <c:pt idx="1">
                  <c:v>1.7108000000000001</c:v>
                </c:pt>
                <c:pt idx="2">
                  <c:v>1.7475000000000001</c:v>
                </c:pt>
                <c:pt idx="3">
                  <c:v>1.7475000000000001</c:v>
                </c:pt>
                <c:pt idx="4">
                  <c:v>1.8097000000000001</c:v>
                </c:pt>
                <c:pt idx="5">
                  <c:v>1.8109</c:v>
                </c:pt>
                <c:pt idx="6">
                  <c:v>1.8421000000000001</c:v>
                </c:pt>
                <c:pt idx="7">
                  <c:v>1.9712000000000001</c:v>
                </c:pt>
                <c:pt idx="8">
                  <c:v>1.9777</c:v>
                </c:pt>
                <c:pt idx="9">
                  <c:v>2.0114999999999998</c:v>
                </c:pt>
                <c:pt idx="10">
                  <c:v>2.0122</c:v>
                </c:pt>
                <c:pt idx="11">
                  <c:v>2.0122</c:v>
                </c:pt>
                <c:pt idx="12">
                  <c:v>2.0137</c:v>
                </c:pt>
                <c:pt idx="13">
                  <c:v>2.0390000000000001</c:v>
                </c:pt>
                <c:pt idx="14">
                  <c:v>2.0478000000000001</c:v>
                </c:pt>
                <c:pt idx="15">
                  <c:v>2.0823</c:v>
                </c:pt>
                <c:pt idx="16">
                  <c:v>2.1013999999999999</c:v>
                </c:pt>
                <c:pt idx="17">
                  <c:v>2.1059000000000001</c:v>
                </c:pt>
                <c:pt idx="18">
                  <c:v>2.1135000000000002</c:v>
                </c:pt>
                <c:pt idx="19">
                  <c:v>2.1145999999999998</c:v>
                </c:pt>
                <c:pt idx="20">
                  <c:v>2.1436999999999999</c:v>
                </c:pt>
                <c:pt idx="21">
                  <c:v>2.1835</c:v>
                </c:pt>
              </c:numCache>
            </c:numRef>
          </c:xVal>
          <c:yVal>
            <c:numRef>
              <c:f>Q_fit!$K$21:$K$42</c:f>
              <c:numCache>
                <c:formatCode>General</c:formatCode>
                <c:ptCount val="22"/>
                <c:pt idx="0">
                  <c:v>-3.5187894864139174E-2</c:v>
                </c:pt>
                <c:pt idx="1">
                  <c:v>-3.5410045893019437E-2</c:v>
                </c:pt>
                <c:pt idx="2">
                  <c:v>-3.918609690725694E-2</c:v>
                </c:pt>
                <c:pt idx="3">
                  <c:v>-3.918609690725694E-2</c:v>
                </c:pt>
                <c:pt idx="4">
                  <c:v>-4.5126601577052727E-2</c:v>
                </c:pt>
                <c:pt idx="5">
                  <c:v>-4.5235529794895896E-2</c:v>
                </c:pt>
                <c:pt idx="6">
                  <c:v>-4.7992198379652962E-2</c:v>
                </c:pt>
                <c:pt idx="7">
                  <c:v>-5.785387749621973E-2</c:v>
                </c:pt>
                <c:pt idx="8">
                  <c:v>-5.8284599880618793E-2</c:v>
                </c:pt>
                <c:pt idx="9">
                  <c:v>-6.0422668638101362E-2</c:v>
                </c:pt>
                <c:pt idx="10">
                  <c:v>-6.0465145302107282E-2</c:v>
                </c:pt>
                <c:pt idx="11">
                  <c:v>-6.0465145302107282E-2</c:v>
                </c:pt>
                <c:pt idx="12">
                  <c:v>-6.0555920370551797E-2</c:v>
                </c:pt>
                <c:pt idx="13">
                  <c:v>-6.2036375569108348E-2</c:v>
                </c:pt>
                <c:pt idx="14">
                  <c:v>-6.2528914678681546E-2</c:v>
                </c:pt>
                <c:pt idx="15">
                  <c:v>-6.4348371700553575E-2</c:v>
                </c:pt>
                <c:pt idx="16">
                  <c:v>-6.5279238690220065E-2</c:v>
                </c:pt>
                <c:pt idx="17">
                  <c:v>-6.549062476912848E-2</c:v>
                </c:pt>
                <c:pt idx="18">
                  <c:v>-6.5840767292416946E-2</c:v>
                </c:pt>
                <c:pt idx="19">
                  <c:v>-6.5890731387691692E-2</c:v>
                </c:pt>
                <c:pt idx="20">
                  <c:v>-6.7146902394244756E-2</c:v>
                </c:pt>
                <c:pt idx="21">
                  <c:v>-6.8660249903166215E-2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E8-4396-967B-347C0C5C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206216"/>
        <c:axId val="1"/>
      </c:scatterChart>
      <c:valAx>
        <c:axId val="811206216"/>
        <c:scaling>
          <c:orientation val="minMax"/>
          <c:min val="1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085559817843279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51248117794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2062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746070202763116"/>
          <c:y val="0.93877765279340086"/>
          <c:w val="0.45543396818987369"/>
          <c:h val="0.98866427410859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628650</xdr:colOff>
      <xdr:row>18</xdr:row>
      <xdr:rowOff>19050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0DD652B4-A7E8-5D41-B7F7-4CBFFB609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285750</xdr:colOff>
      <xdr:row>0</xdr:row>
      <xdr:rowOff>0</xdr:rowOff>
    </xdr:from>
    <xdr:to>
      <xdr:col>30</xdr:col>
      <xdr:colOff>238125</xdr:colOff>
      <xdr:row>18</xdr:row>
      <xdr:rowOff>28575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9F60003D-2121-FC4C-BC8F-FAB0D07F8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0</xdr:row>
      <xdr:rowOff>19050</xdr:rowOff>
    </xdr:from>
    <xdr:to>
      <xdr:col>21</xdr:col>
      <xdr:colOff>476250</xdr:colOff>
      <xdr:row>25</xdr:row>
      <xdr:rowOff>57150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C88B2D42-635F-9284-A1CD-9347B4B35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konkoly.hu/cgi-bin/IBVS?5603" TargetMode="External"/><Relationship Id="rId18" Type="http://schemas.openxmlformats.org/officeDocument/2006/relationships/hyperlink" Target="http://var.astro.cz/oejv/issues/oejv0003.pdf" TargetMode="External"/><Relationship Id="rId26" Type="http://schemas.openxmlformats.org/officeDocument/2006/relationships/hyperlink" Target="http://www.bav-astro.de/sfs/BAVM_link.php?BAVMnr=186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20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bav-astro.de/sfs/BAVM_link.php?BAVMnr=203" TargetMode="External"/><Relationship Id="rId33" Type="http://schemas.openxmlformats.org/officeDocument/2006/relationships/hyperlink" Target="http://www.bav-astro.de/sfs/BAVM_link.php?BAVMnr=220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konkoly.hu/cgi-bin/IBVS?5263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ar.astro.cz/oejv/issues/oejv0107.pdf" TargetMode="External"/><Relationship Id="rId32" Type="http://schemas.openxmlformats.org/officeDocument/2006/relationships/hyperlink" Target="http://www.konkoly.hu/cgi-bin/IBVS?5992" TargetMode="External"/><Relationship Id="rId37" Type="http://schemas.openxmlformats.org/officeDocument/2006/relationships/hyperlink" Target="http://www.bav-astro.de/sfs/BAVM_link.php?BAVMnr=220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4888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www.konkoly.hu/cgi-bin/IBVS?5893" TargetMode="External"/><Relationship Id="rId28" Type="http://schemas.openxmlformats.org/officeDocument/2006/relationships/hyperlink" Target="http://www.konkoly.hu/cgi-bin/IBVS?5870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02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893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91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konkoly.hu/cgi-bin/IBVS?602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9"/>
  <sheetViews>
    <sheetView tabSelected="1" workbookViewId="0">
      <pane ySplit="20" topLeftCell="A142" activePane="bottomLeft" state="frozen"/>
      <selection pane="bottomLeft" activeCell="F9" sqref="F9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167</v>
      </c>
      <c r="V1" s="8" t="s">
        <v>11</v>
      </c>
      <c r="W1" s="8" t="s">
        <v>79</v>
      </c>
    </row>
    <row r="2" spans="1:23" x14ac:dyDescent="0.2">
      <c r="A2" t="s">
        <v>25</v>
      </c>
      <c r="B2" s="10" t="s">
        <v>59</v>
      </c>
      <c r="V2">
        <v>10000</v>
      </c>
      <c r="W2">
        <f t="shared" ref="W2:W18" si="0">+D$11+D$12*V2+E$15*V2^2</f>
        <v>0.1700531136531184</v>
      </c>
    </row>
    <row r="3" spans="1:23" ht="13.5" thickBot="1" x14ac:dyDescent="0.25">
      <c r="V3">
        <v>11000</v>
      </c>
      <c r="W3">
        <f t="shared" si="0"/>
        <v>0.12994362795349601</v>
      </c>
    </row>
    <row r="4" spans="1:23" ht="14.25" thickTop="1" thickBot="1" x14ac:dyDescent="0.25">
      <c r="A4" s="7" t="s">
        <v>1</v>
      </c>
      <c r="C4" s="3">
        <v>31164.315999999999</v>
      </c>
      <c r="D4" s="4">
        <v>1.089906</v>
      </c>
      <c r="F4" s="31" t="str">
        <f>"F"&amp;B9</f>
        <v>F110</v>
      </c>
      <c r="G4" s="32" t="str">
        <f>"G"&amp;B9</f>
        <v>G110</v>
      </c>
      <c r="V4">
        <v>12000</v>
      </c>
      <c r="W4">
        <f t="shared" si="0"/>
        <v>9.3596895652956313E-2</v>
      </c>
    </row>
    <row r="5" spans="1:23" ht="13.5" thickTop="1" x14ac:dyDescent="0.2">
      <c r="A5" s="18" t="s">
        <v>66</v>
      </c>
      <c r="B5" s="15"/>
      <c r="C5" s="19">
        <v>-9.5</v>
      </c>
      <c r="D5" s="15" t="s">
        <v>67</v>
      </c>
      <c r="V5">
        <v>13000</v>
      </c>
      <c r="W5">
        <f t="shared" si="0"/>
        <v>6.1012916751499224E-2</v>
      </c>
    </row>
    <row r="6" spans="1:23" x14ac:dyDescent="0.2">
      <c r="A6" s="7" t="s">
        <v>2</v>
      </c>
      <c r="V6">
        <v>14000</v>
      </c>
      <c r="W6">
        <f t="shared" si="0"/>
        <v>3.2191691249124743E-2</v>
      </c>
    </row>
    <row r="7" spans="1:23" x14ac:dyDescent="0.2">
      <c r="A7" t="s">
        <v>3</v>
      </c>
      <c r="C7">
        <f>+C4</f>
        <v>31164.315999999999</v>
      </c>
      <c r="V7">
        <v>15000</v>
      </c>
      <c r="W7">
        <f t="shared" si="0"/>
        <v>7.1332191458332028E-3</v>
      </c>
    </row>
    <row r="8" spans="1:23" x14ac:dyDescent="0.2">
      <c r="A8" t="s">
        <v>4</v>
      </c>
      <c r="C8">
        <f>+D4</f>
        <v>1.089906</v>
      </c>
      <c r="V8">
        <v>16000</v>
      </c>
      <c r="W8">
        <f t="shared" si="0"/>
        <v>-1.4162499558375952E-2</v>
      </c>
    </row>
    <row r="9" spans="1:23" x14ac:dyDescent="0.2">
      <c r="A9" s="33" t="s">
        <v>72</v>
      </c>
      <c r="B9" s="34">
        <v>110</v>
      </c>
      <c r="C9">
        <v>1</v>
      </c>
      <c r="V9">
        <v>17000</v>
      </c>
      <c r="W9">
        <f t="shared" si="0"/>
        <v>-3.1695464863502498E-2</v>
      </c>
    </row>
    <row r="10" spans="1:23" ht="13.5" thickBot="1" x14ac:dyDescent="0.25">
      <c r="A10" s="15"/>
      <c r="B10" s="15"/>
      <c r="C10" s="6" t="s">
        <v>21</v>
      </c>
      <c r="D10" s="6" t="s">
        <v>22</v>
      </c>
      <c r="E10" s="15"/>
      <c r="V10">
        <v>18000</v>
      </c>
      <c r="W10">
        <f t="shared" si="0"/>
        <v>-4.5465676769546381E-2</v>
      </c>
    </row>
    <row r="11" spans="1:23" x14ac:dyDescent="0.2">
      <c r="A11" s="15" t="s">
        <v>17</v>
      </c>
      <c r="B11" s="15"/>
      <c r="C11" s="30">
        <f ca="1">INTERCEPT(INDIRECT($G$4):G969,INDIRECT($F$4):F969)</f>
        <v>-0.20897657911716488</v>
      </c>
      <c r="D11" s="5">
        <f>E11*C9</f>
        <v>0.77809940759888729</v>
      </c>
      <c r="E11" s="39">
        <v>0.77809940759888729</v>
      </c>
      <c r="V11">
        <v>19000</v>
      </c>
      <c r="W11">
        <f t="shared" si="0"/>
        <v>-5.5473135276507546E-2</v>
      </c>
    </row>
    <row r="12" spans="1:23" x14ac:dyDescent="0.2">
      <c r="A12" s="15" t="s">
        <v>18</v>
      </c>
      <c r="B12" s="15"/>
      <c r="C12" s="30">
        <f ca="1">SLOPE(INDIRECT($G$4):G969,INDIRECT($F$4):F969)</f>
        <v>6.4393326537419383E-6</v>
      </c>
      <c r="D12" s="5">
        <f>E12*F12</f>
        <v>-7.9618396389990109E-5</v>
      </c>
      <c r="E12" s="40">
        <v>-0.79618396389990109</v>
      </c>
      <c r="F12">
        <v>1E-4</v>
      </c>
      <c r="V12">
        <v>20000</v>
      </c>
      <c r="W12">
        <f t="shared" si="0"/>
        <v>-6.1717840384386102E-2</v>
      </c>
    </row>
    <row r="13" spans="1:23" x14ac:dyDescent="0.2">
      <c r="A13" s="15" t="s">
        <v>20</v>
      </c>
      <c r="B13" s="15"/>
      <c r="C13" s="5" t="s">
        <v>15</v>
      </c>
      <c r="F13">
        <v>1.0000000000000001E-9</v>
      </c>
      <c r="V13">
        <v>21000</v>
      </c>
      <c r="W13">
        <f t="shared" si="0"/>
        <v>-6.4199792093182051E-2</v>
      </c>
    </row>
    <row r="14" spans="1:23" x14ac:dyDescent="0.2">
      <c r="A14" s="15"/>
      <c r="B14" s="15"/>
      <c r="C14" s="15"/>
      <c r="V14">
        <v>22000</v>
      </c>
      <c r="W14">
        <f t="shared" si="0"/>
        <v>-6.2918990402895392E-2</v>
      </c>
    </row>
    <row r="15" spans="1:23" ht="13.5" thickBot="1" x14ac:dyDescent="0.25">
      <c r="A15" s="20" t="s">
        <v>19</v>
      </c>
      <c r="B15" s="15"/>
      <c r="C15" s="21">
        <f ca="1">(C7+C11)+(C8+C12)*INT(MAX(F21:F3510))</f>
        <v>59690.385298074427</v>
      </c>
      <c r="E15" s="5">
        <f>F15*F13</f>
        <v>1.8813766995413219E-9</v>
      </c>
      <c r="F15" s="41">
        <v>1.8813766995413219</v>
      </c>
      <c r="V15">
        <v>23000</v>
      </c>
      <c r="W15">
        <f t="shared" si="0"/>
        <v>-5.7875435313526125E-2</v>
      </c>
    </row>
    <row r="16" spans="1:23" x14ac:dyDescent="0.2">
      <c r="A16" s="24" t="s">
        <v>5</v>
      </c>
      <c r="B16" s="15"/>
      <c r="C16" s="25">
        <f ca="1">+C8+C12</f>
        <v>1.0899124393326538</v>
      </c>
      <c r="E16" s="15"/>
      <c r="F16" s="15">
        <f>SUM(R22:R143)</f>
        <v>4.8865243781797325</v>
      </c>
      <c r="V16">
        <v>24000</v>
      </c>
      <c r="W16">
        <f t="shared" si="0"/>
        <v>-4.9069126825074028E-2</v>
      </c>
    </row>
    <row r="17" spans="1:27" ht="13.5" thickBot="1" x14ac:dyDescent="0.25">
      <c r="A17" s="22" t="s">
        <v>64</v>
      </c>
      <c r="B17" s="15"/>
      <c r="C17" s="15">
        <f>COUNT(C21:C2168)</f>
        <v>134</v>
      </c>
      <c r="E17" s="22" t="s">
        <v>68</v>
      </c>
      <c r="F17" s="23">
        <f ca="1">TODAY()+15018.5-B5/24</f>
        <v>59961.5</v>
      </c>
      <c r="V17">
        <v>25000</v>
      </c>
      <c r="W17">
        <f t="shared" si="0"/>
        <v>-3.6500064937539101E-2</v>
      </c>
    </row>
    <row r="18" spans="1:27" ht="14.25" thickTop="1" thickBot="1" x14ac:dyDescent="0.25">
      <c r="A18" s="24" t="s">
        <v>6</v>
      </c>
      <c r="B18" s="15"/>
      <c r="C18" s="27">
        <f ca="1">+C15</f>
        <v>59690.385298074427</v>
      </c>
      <c r="D18" s="28">
        <f ca="1">+C16</f>
        <v>1.0899124393326538</v>
      </c>
      <c r="E18" s="22" t="s">
        <v>69</v>
      </c>
      <c r="F18" s="23">
        <f ca="1">ROUND(2*(F17-C15)/C16,0)/2+1</f>
        <v>249.5</v>
      </c>
      <c r="V18">
        <v>26000</v>
      </c>
      <c r="W18">
        <f t="shared" si="0"/>
        <v>-2.0168249650922121E-2</v>
      </c>
    </row>
    <row r="19" spans="1:27" ht="13.5" thickTop="1" x14ac:dyDescent="0.2">
      <c r="E19" s="22" t="s">
        <v>70</v>
      </c>
      <c r="F19" s="26">
        <f ca="1">+C15+C16*F18-15018.5-C5/24</f>
        <v>44944.214285021262</v>
      </c>
    </row>
    <row r="20" spans="1:27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28</v>
      </c>
      <c r="I20" s="9" t="s">
        <v>172</v>
      </c>
      <c r="J20" s="9" t="s">
        <v>170</v>
      </c>
      <c r="K20" s="9" t="s">
        <v>169</v>
      </c>
      <c r="L20" s="9" t="s">
        <v>26</v>
      </c>
      <c r="M20" s="9" t="s">
        <v>27</v>
      </c>
      <c r="N20" s="9" t="s">
        <v>55</v>
      </c>
      <c r="O20" s="9" t="s">
        <v>24</v>
      </c>
      <c r="P20" s="8" t="s">
        <v>23</v>
      </c>
      <c r="Q20" s="6" t="s">
        <v>16</v>
      </c>
      <c r="U20" s="108" t="s">
        <v>623</v>
      </c>
    </row>
    <row r="21" spans="1:27" x14ac:dyDescent="0.2">
      <c r="A21" s="105" t="s">
        <v>179</v>
      </c>
      <c r="B21" s="106" t="s">
        <v>57</v>
      </c>
      <c r="C21" s="107">
        <v>31150.15</v>
      </c>
      <c r="D21" s="16"/>
      <c r="E21" s="89">
        <f>+(C21-C$7)/C$8</f>
        <v>-12.997451156335902</v>
      </c>
      <c r="F21">
        <f>ROUND(2*E21,0)/2</f>
        <v>-13</v>
      </c>
      <c r="G21">
        <f>+C21-(C$7+F21*C$8)</f>
        <v>2.7780000018537976E-3</v>
      </c>
      <c r="H21">
        <f>G21</f>
        <v>2.7780000018537976E-3</v>
      </c>
      <c r="P21">
        <f>+D$11+D$12*F21+E$15*F21^2</f>
        <v>0.7791347647046194</v>
      </c>
      <c r="Q21" s="2">
        <f>+C21-15018.5</f>
        <v>16131.650000000001</v>
      </c>
      <c r="R21">
        <f>+(P21-G21)^2</f>
        <v>0.60272982609974535</v>
      </c>
    </row>
    <row r="22" spans="1:27" x14ac:dyDescent="0.2">
      <c r="A22" s="105" t="s">
        <v>179</v>
      </c>
      <c r="B22" s="106" t="s">
        <v>57</v>
      </c>
      <c r="C22" s="107">
        <v>31162.13</v>
      </c>
      <c r="D22" s="16"/>
      <c r="E22" s="89">
        <f>+(C22-C$7)/C$8</f>
        <v>-2.0056775538421436</v>
      </c>
      <c r="F22">
        <f>ROUND(2*E22,0)/2</f>
        <v>-2</v>
      </c>
      <c r="G22">
        <f>+C22-(C$7+F22*C$8)</f>
        <v>-6.1879999993834645E-3</v>
      </c>
      <c r="H22">
        <f>G22</f>
        <v>-6.1879999993834645E-3</v>
      </c>
      <c r="P22">
        <f>+D$11+D$12*F22+E$15*F22^2</f>
        <v>0.77825865191717403</v>
      </c>
      <c r="Q22" s="2">
        <f>+C22-15018.5</f>
        <v>16143.630000000001</v>
      </c>
      <c r="R22">
        <f>+(P22-G22)^2</f>
        <v>0.61535654970309672</v>
      </c>
    </row>
    <row r="23" spans="1:27" x14ac:dyDescent="0.2">
      <c r="A23" s="105" t="s">
        <v>179</v>
      </c>
      <c r="B23" s="106" t="s">
        <v>57</v>
      </c>
      <c r="C23" s="107">
        <v>31164.313999999998</v>
      </c>
      <c r="D23" s="16"/>
      <c r="E23" s="89">
        <f>+(C23-C$7)/C$8</f>
        <v>-1.8350206351808813E-3</v>
      </c>
      <c r="F23">
        <f>ROUND(2*E23,0)/2</f>
        <v>0</v>
      </c>
      <c r="G23">
        <f>+C23-(C$7+F23*C$8)</f>
        <v>-2.0000000004074536E-3</v>
      </c>
      <c r="H23">
        <f>G23</f>
        <v>-2.0000000004074536E-3</v>
      </c>
      <c r="P23">
        <f>+D$11+D$12*F23+E$15*F23^2</f>
        <v>0.77809940759888729</v>
      </c>
      <c r="Q23" s="2">
        <f>+C23-15018.5</f>
        <v>16145.813999999998</v>
      </c>
      <c r="R23">
        <f>+(P23-G23)^2</f>
        <v>0.60855508573677064</v>
      </c>
    </row>
    <row r="24" spans="1:27" x14ac:dyDescent="0.2">
      <c r="A24" t="s">
        <v>13</v>
      </c>
      <c r="C24" s="16">
        <v>31164.315999999999</v>
      </c>
      <c r="D24" s="16" t="s">
        <v>15</v>
      </c>
      <c r="E24">
        <f>+(C24-C$7)/C$8</f>
        <v>0</v>
      </c>
      <c r="F24">
        <f>ROUND(2*E24,0)/2</f>
        <v>0</v>
      </c>
      <c r="G24">
        <f>+C24-(C$7+F24*C$8)</f>
        <v>0</v>
      </c>
      <c r="H24">
        <f>G24</f>
        <v>0</v>
      </c>
      <c r="P24">
        <f>+D$11+D$12*F24+E$15*F24^2</f>
        <v>0.77809940759888729</v>
      </c>
      <c r="Q24" s="2">
        <f>+C24-15018.5</f>
        <v>16145.815999999999</v>
      </c>
    </row>
    <row r="25" spans="1:27" x14ac:dyDescent="0.2">
      <c r="A25" s="105" t="s">
        <v>179</v>
      </c>
      <c r="B25" s="106" t="s">
        <v>57</v>
      </c>
      <c r="C25" s="107">
        <v>31165.396000000001</v>
      </c>
      <c r="D25" s="16"/>
      <c r="E25" s="89">
        <f>+(C25-C$7)/C$8</f>
        <v>0.99091114279740289</v>
      </c>
      <c r="F25">
        <f>ROUND(2*E25,0)/2</f>
        <v>1</v>
      </c>
      <c r="G25">
        <f>+C25-(C$7+F25*C$8)</f>
        <v>-9.9059999993187375E-3</v>
      </c>
      <c r="H25">
        <f>G25</f>
        <v>-9.9059999993187375E-3</v>
      </c>
      <c r="P25">
        <f>+D$11+D$12*F25+E$15*F25^2</f>
        <v>0.77801979108387398</v>
      </c>
      <c r="Q25" s="2">
        <f>+C25-15018.5</f>
        <v>16146.896000000001</v>
      </c>
      <c r="R25">
        <f>+(P25-G25)^2</f>
        <v>0.62082705225407508</v>
      </c>
    </row>
    <row r="26" spans="1:27" x14ac:dyDescent="0.2">
      <c r="A26" s="105" t="s">
        <v>179</v>
      </c>
      <c r="B26" s="106" t="s">
        <v>57</v>
      </c>
      <c r="C26" s="107">
        <v>31186.14</v>
      </c>
      <c r="D26" s="16"/>
      <c r="E26" s="89">
        <f>+(C26-C$7)/C$8</f>
        <v>20.023745167014884</v>
      </c>
      <c r="F26">
        <f>ROUND(2*E26,0)/2</f>
        <v>20</v>
      </c>
      <c r="G26">
        <f>+C26-(C$7+F26*C$8)</f>
        <v>2.5880000001052395E-2</v>
      </c>
      <c r="H26">
        <f>G26</f>
        <v>2.5880000001052395E-2</v>
      </c>
      <c r="P26">
        <f>+D$11+D$12*F26+E$15*F26^2</f>
        <v>0.77650779222176725</v>
      </c>
      <c r="Q26" s="2">
        <f>+C26-15018.5</f>
        <v>16167.64</v>
      </c>
      <c r="R26">
        <f>+(P26-G26)^2</f>
        <v>0.56344208245414462</v>
      </c>
    </row>
    <row r="27" spans="1:27" x14ac:dyDescent="0.2">
      <c r="A27" s="105" t="s">
        <v>179</v>
      </c>
      <c r="B27" s="106" t="s">
        <v>57</v>
      </c>
      <c r="C27" s="107">
        <v>31212.28</v>
      </c>
      <c r="D27" s="16"/>
      <c r="E27" s="89">
        <f>+(C27-C$7)/C$8</f>
        <v>44.007464863942339</v>
      </c>
      <c r="F27">
        <f>ROUND(2*E27,0)/2</f>
        <v>44</v>
      </c>
      <c r="G27">
        <f>+C27-(C$7+F27*C$8)</f>
        <v>8.1360000003769528E-3</v>
      </c>
      <c r="H27">
        <f>G27</f>
        <v>8.1360000003769528E-3</v>
      </c>
      <c r="P27">
        <f>+D$11+D$12*F27+E$15*F27^2</f>
        <v>0.774599840503018</v>
      </c>
      <c r="Q27" s="2">
        <f>+C27-15018.5</f>
        <v>16193.779999999999</v>
      </c>
      <c r="R27">
        <f>+(P27-G27)^2</f>
        <v>0.58746681879805795</v>
      </c>
    </row>
    <row r="28" spans="1:27" x14ac:dyDescent="0.2">
      <c r="A28" s="105" t="s">
        <v>179</v>
      </c>
      <c r="B28" s="106" t="s">
        <v>57</v>
      </c>
      <c r="C28" s="107">
        <v>31224.22</v>
      </c>
      <c r="D28" s="16"/>
      <c r="E28" s="89">
        <f>+(C28-C$7)/C$8</f>
        <v>54.962538053742492</v>
      </c>
      <c r="F28">
        <f>ROUND(2*E28,0)/2</f>
        <v>55</v>
      </c>
      <c r="G28">
        <f>+C28-(C$7+F28*C$8)</f>
        <v>-4.0829999998095445E-2</v>
      </c>
      <c r="H28">
        <f>G28</f>
        <v>-4.0829999998095445E-2</v>
      </c>
      <c r="P28">
        <f>+D$11+D$12*F28+E$15*F28^2</f>
        <v>0.77372608696195389</v>
      </c>
      <c r="Q28" s="2">
        <f>+C28-15018.5</f>
        <v>16205.720000000001</v>
      </c>
      <c r="R28">
        <f>+(P28-G28)^2</f>
        <v>0.66350161880366743</v>
      </c>
    </row>
    <row r="29" spans="1:27" x14ac:dyDescent="0.2">
      <c r="A29" s="105" t="s">
        <v>179</v>
      </c>
      <c r="B29" s="106" t="s">
        <v>57</v>
      </c>
      <c r="C29" s="107">
        <v>31235.18</v>
      </c>
      <c r="D29" s="16"/>
      <c r="E29" s="89">
        <f>+(C29-C$7)/C$8</f>
        <v>65.018451132484259</v>
      </c>
      <c r="F29">
        <f>ROUND(2*E29,0)/2</f>
        <v>65</v>
      </c>
      <c r="G29">
        <f>+C29-(C$7+F29*C$8)</f>
        <v>2.0110000001295703E-2</v>
      </c>
      <c r="H29">
        <f>G29</f>
        <v>2.0110000001295703E-2</v>
      </c>
      <c r="P29">
        <f>+D$11+D$12*F29+E$15*F29^2</f>
        <v>0.77293216065009351</v>
      </c>
      <c r="Q29" s="2">
        <f>+C29-15018.5</f>
        <v>16216.68</v>
      </c>
      <c r="R29">
        <f>+(P29-G29)^2</f>
        <v>0.56674120556392438</v>
      </c>
    </row>
    <row r="30" spans="1:27" x14ac:dyDescent="0.2">
      <c r="A30" s="105" t="s">
        <v>179</v>
      </c>
      <c r="B30" s="106" t="s">
        <v>57</v>
      </c>
      <c r="C30" s="107">
        <v>31236.25</v>
      </c>
      <c r="D30" s="16"/>
      <c r="E30" s="89">
        <f>+(C30-C$7)/C$8</f>
        <v>66.000187172105768</v>
      </c>
      <c r="F30">
        <f>ROUND(2*E30,0)/2</f>
        <v>66</v>
      </c>
      <c r="G30">
        <f>+C30-(C$7+F30*C$8)</f>
        <v>2.0399999993969686E-4</v>
      </c>
      <c r="H30">
        <f>G30</f>
        <v>2.0399999993969686E-4</v>
      </c>
      <c r="P30">
        <f>+D$11+D$12*F30+E$15*F30^2</f>
        <v>0.77285278871405116</v>
      </c>
      <c r="Q30" s="2">
        <f>+C30-15018.5</f>
        <v>16217.75</v>
      </c>
      <c r="R30">
        <f>+(P30-G30)^2</f>
        <v>0.59698615070138361</v>
      </c>
    </row>
    <row r="31" spans="1:27" x14ac:dyDescent="0.2">
      <c r="A31" s="105" t="s">
        <v>207</v>
      </c>
      <c r="B31" s="106" t="s">
        <v>74</v>
      </c>
      <c r="C31" s="107">
        <v>42816.474999999999</v>
      </c>
      <c r="D31" s="16"/>
      <c r="E31" s="89">
        <f>+(C31-C$7)/C$8</f>
        <v>10690.976102526272</v>
      </c>
      <c r="F31">
        <f>ROUND(2*E31,0)/2</f>
        <v>10691</v>
      </c>
      <c r="G31">
        <f>+C31-(C$7+F31*C$8)</f>
        <v>-2.6045999999041669E-2</v>
      </c>
      <c r="H31">
        <f>G31</f>
        <v>-2.6045999999041669E-2</v>
      </c>
      <c r="P31">
        <f>+D$11+D$12*F31+E$15*F31^2</f>
        <v>0.14193574936316997</v>
      </c>
      <c r="Q31" s="2">
        <f>+C31-15018.5</f>
        <v>27797.974999999999</v>
      </c>
      <c r="R31">
        <f>+(P31-G31)^2</f>
        <v>2.8217868118788889E-2</v>
      </c>
    </row>
    <row r="32" spans="1:27" x14ac:dyDescent="0.2">
      <c r="A32" t="s">
        <v>29</v>
      </c>
      <c r="C32" s="16">
        <v>42839.368000000002</v>
      </c>
      <c r="D32" s="16"/>
      <c r="E32">
        <f>+(C32-C$7)/C$8</f>
        <v>10711.980666222595</v>
      </c>
      <c r="F32">
        <f>ROUND(2*E32,0)/2</f>
        <v>10712</v>
      </c>
      <c r="G32">
        <f>+C32-(C$7+F32*C$8)</f>
        <v>-2.1071999995911028E-2</v>
      </c>
      <c r="I32">
        <f>G32</f>
        <v>-2.1071999995911028E-2</v>
      </c>
      <c r="P32">
        <f>+D$11+D$12*F32+E$15*F32^2</f>
        <v>0.14110937225448617</v>
      </c>
      <c r="Q32" s="2">
        <f>+C32-15018.5</f>
        <v>27820.868000000002</v>
      </c>
      <c r="AA32" t="s">
        <v>28</v>
      </c>
    </row>
    <row r="33" spans="1:32" x14ac:dyDescent="0.2">
      <c r="A33" t="s">
        <v>32</v>
      </c>
      <c r="C33" s="16">
        <v>42887.345999999998</v>
      </c>
      <c r="D33" s="16"/>
      <c r="E33">
        <f>+(C33-C$7)/C$8</f>
        <v>10756.000976230976</v>
      </c>
      <c r="F33">
        <f>ROUND(2*E33,0)/2</f>
        <v>10756</v>
      </c>
      <c r="G33">
        <f>+C33-(C$7+F33*C$8)</f>
        <v>1.0639999964041635E-3</v>
      </c>
      <c r="I33">
        <f>G33</f>
        <v>1.0639999964041635E-3</v>
      </c>
      <c r="P33">
        <f>+D$11+D$12*F33+E$15*F33^2</f>
        <v>0.13938329619269973</v>
      </c>
      <c r="Q33" s="2">
        <f>+C33-15018.5</f>
        <v>27868.845999999998</v>
      </c>
      <c r="AA33" t="s">
        <v>30</v>
      </c>
      <c r="AB33">
        <v>10</v>
      </c>
      <c r="AD33" t="s">
        <v>31</v>
      </c>
      <c r="AF33" t="s">
        <v>33</v>
      </c>
    </row>
    <row r="34" spans="1:32" x14ac:dyDescent="0.2">
      <c r="A34" t="s">
        <v>32</v>
      </c>
      <c r="C34" s="16">
        <v>42899.336000000003</v>
      </c>
      <c r="D34" s="16"/>
      <c r="E34">
        <f>+(C34-C$7)/C$8</f>
        <v>10767.001924936649</v>
      </c>
      <c r="F34">
        <f>ROUND(2*E34,0)/2</f>
        <v>10767</v>
      </c>
      <c r="G34">
        <f>+C34-(C$7+F34*C$8)</f>
        <v>2.0980000044801272E-3</v>
      </c>
      <c r="I34">
        <f>G34</f>
        <v>2.0980000044801272E-3</v>
      </c>
      <c r="P34">
        <f>+D$11+D$12*F34+E$15*F34^2</f>
        <v>0.13895291541015631</v>
      </c>
      <c r="Q34" s="2">
        <f>+C34-15018.5</f>
        <v>27880.836000000003</v>
      </c>
      <c r="AA34" t="s">
        <v>30</v>
      </c>
      <c r="AB34">
        <v>5</v>
      </c>
      <c r="AD34" t="s">
        <v>34</v>
      </c>
      <c r="AF34" t="s">
        <v>33</v>
      </c>
    </row>
    <row r="35" spans="1:32" x14ac:dyDescent="0.2">
      <c r="A35" t="s">
        <v>32</v>
      </c>
      <c r="C35" s="16">
        <v>42899.349000000002</v>
      </c>
      <c r="D35" s="16"/>
      <c r="E35">
        <f>+(C35-C$7)/C$8</f>
        <v>10767.013852570775</v>
      </c>
      <c r="F35">
        <f>ROUND(2*E35,0)/2</f>
        <v>10767</v>
      </c>
      <c r="G35">
        <f>+C35-(C$7+F35*C$8)</f>
        <v>1.5098000003490597E-2</v>
      </c>
      <c r="I35">
        <f>G35</f>
        <v>1.5098000003490597E-2</v>
      </c>
      <c r="P35">
        <f>+D$11+D$12*F35+E$15*F35^2</f>
        <v>0.13895291541015631</v>
      </c>
      <c r="Q35" s="2">
        <f>+C35-15018.5</f>
        <v>27880.849000000002</v>
      </c>
      <c r="AA35" t="s">
        <v>30</v>
      </c>
      <c r="AB35">
        <v>9</v>
      </c>
      <c r="AD35" t="s">
        <v>31</v>
      </c>
      <c r="AF35" t="s">
        <v>33</v>
      </c>
    </row>
    <row r="36" spans="1:32" x14ac:dyDescent="0.2">
      <c r="A36" t="s">
        <v>32</v>
      </c>
      <c r="C36" s="16">
        <v>42900.345000000001</v>
      </c>
      <c r="D36" s="16"/>
      <c r="E36">
        <f>+(C36-C$7)/C$8</f>
        <v>10767.927692846908</v>
      </c>
      <c r="F36">
        <f>ROUND(2*E36,0)/2</f>
        <v>10768</v>
      </c>
      <c r="G36">
        <f>+C36-(C$7+F36*C$8)</f>
        <v>-7.8807999998389278E-2</v>
      </c>
      <c r="I36">
        <f>G36</f>
        <v>-7.8807999998389278E-2</v>
      </c>
      <c r="P36">
        <f>+D$11+D$12*F36+E$15*F36^2</f>
        <v>0.13891381246099102</v>
      </c>
      <c r="Q36" s="2">
        <f>+C36-15018.5</f>
        <v>27881.845000000001</v>
      </c>
      <c r="AB36">
        <v>7</v>
      </c>
      <c r="AD36" t="s">
        <v>31</v>
      </c>
      <c r="AF36" t="s">
        <v>33</v>
      </c>
    </row>
    <row r="37" spans="1:32" x14ac:dyDescent="0.2">
      <c r="A37" t="s">
        <v>35</v>
      </c>
      <c r="C37" s="16">
        <v>42900.442000000003</v>
      </c>
      <c r="D37" s="16"/>
      <c r="E37">
        <f>+(C37-C$7)/C$8</f>
        <v>10768.016691347697</v>
      </c>
      <c r="F37">
        <f>ROUND(2*E37,0)/2</f>
        <v>10768</v>
      </c>
      <c r="G37">
        <f>+C37-(C$7+F37*C$8)</f>
        <v>1.8192000003182329E-2</v>
      </c>
      <c r="I37">
        <f>G37</f>
        <v>1.8192000003182329E-2</v>
      </c>
      <c r="P37">
        <f>+D$11+D$12*F37+E$15*F37^2</f>
        <v>0.13891381246099102</v>
      </c>
      <c r="Q37" s="2">
        <f>+C37-15018.5</f>
        <v>27881.942000000003</v>
      </c>
      <c r="AA37" t="s">
        <v>30</v>
      </c>
      <c r="AB37">
        <v>7</v>
      </c>
      <c r="AD37" t="s">
        <v>31</v>
      </c>
      <c r="AF37" t="s">
        <v>33</v>
      </c>
    </row>
    <row r="38" spans="1:32" x14ac:dyDescent="0.2">
      <c r="A38" t="s">
        <v>32</v>
      </c>
      <c r="C38" s="16">
        <v>43143.470999999998</v>
      </c>
      <c r="D38" s="16"/>
      <c r="E38">
        <f>+(C38-C$7)/C$8</f>
        <v>10990.998306275953</v>
      </c>
      <c r="F38">
        <f>ROUND(2*E38,0)/2</f>
        <v>10991</v>
      </c>
      <c r="G38">
        <f>+C38-(C$7+F38*C$8)</f>
        <v>-1.8459999992046505E-3</v>
      </c>
      <c r="I38">
        <f>G38</f>
        <v>-1.8459999992046505E-3</v>
      </c>
      <c r="P38">
        <f>+D$11+D$12*F38+E$15*F38^2</f>
        <v>0.13028783332600949</v>
      </c>
      <c r="Q38" s="2">
        <f>+C38-15018.5</f>
        <v>28124.970999999998</v>
      </c>
      <c r="AA38" t="s">
        <v>30</v>
      </c>
      <c r="AB38">
        <v>6</v>
      </c>
      <c r="AD38" t="s">
        <v>34</v>
      </c>
      <c r="AF38" t="s">
        <v>33</v>
      </c>
    </row>
    <row r="39" spans="1:32" x14ac:dyDescent="0.2">
      <c r="A39" t="s">
        <v>36</v>
      </c>
      <c r="C39" s="16">
        <v>43227.406999999999</v>
      </c>
      <c r="D39" s="16"/>
      <c r="E39">
        <f>+(C39-C$7)/C$8</f>
        <v>11068.010452277536</v>
      </c>
      <c r="F39">
        <f>ROUND(2*E39,0)/2</f>
        <v>11068</v>
      </c>
      <c r="G39">
        <f>+C39-(C$7+F39*C$8)</f>
        <v>1.1392000000341795E-2</v>
      </c>
      <c r="I39">
        <f>G39</f>
        <v>1.1392000000341795E-2</v>
      </c>
      <c r="P39">
        <f>+D$11+D$12*F39+E$15*F39^2</f>
        <v>0.12735281602734921</v>
      </c>
      <c r="Q39" s="2">
        <f>+C39-15018.5</f>
        <v>28208.906999999999</v>
      </c>
      <c r="AA39" t="s">
        <v>30</v>
      </c>
    </row>
    <row r="40" spans="1:32" x14ac:dyDescent="0.2">
      <c r="A40" t="s">
        <v>32</v>
      </c>
      <c r="C40" s="16">
        <v>43239.385999999999</v>
      </c>
      <c r="D40" s="16"/>
      <c r="E40">
        <f>+(C40-C$7)/C$8</f>
        <v>11079.001308369712</v>
      </c>
      <c r="F40">
        <f>ROUND(2*E40,0)/2</f>
        <v>11079</v>
      </c>
      <c r="G40">
        <f>+C40-(C$7+F40*C$8)</f>
        <v>1.4260000025387853E-3</v>
      </c>
      <c r="I40">
        <f>G40</f>
        <v>1.4260000025387853E-3</v>
      </c>
      <c r="P40">
        <f>+D$11+D$12*F40+E$15*F40^2</f>
        <v>0.12693534901447143</v>
      </c>
      <c r="Q40" s="2">
        <f>+C40-15018.5</f>
        <v>28220.885999999999</v>
      </c>
      <c r="AA40" t="s">
        <v>30</v>
      </c>
      <c r="AB40">
        <v>11</v>
      </c>
      <c r="AD40" t="s">
        <v>31</v>
      </c>
      <c r="AF40" t="s">
        <v>33</v>
      </c>
    </row>
    <row r="41" spans="1:32" x14ac:dyDescent="0.2">
      <c r="A41" s="105" t="s">
        <v>243</v>
      </c>
      <c r="B41" s="106" t="s">
        <v>74</v>
      </c>
      <c r="C41" s="107">
        <v>44286.773000000001</v>
      </c>
      <c r="D41" s="16"/>
      <c r="E41" s="89">
        <f>+(C41-C$7)/C$8</f>
        <v>12039.989687184034</v>
      </c>
      <c r="F41">
        <f>ROUND(2*E41,0)/2</f>
        <v>12040</v>
      </c>
      <c r="G41">
        <f>+C41-(C$7+F41*C$8)</f>
        <v>-1.1239999999816064E-2</v>
      </c>
      <c r="I41">
        <f>G41</f>
        <v>-1.1239999999816064E-2</v>
      </c>
      <c r="P41">
        <f>+D$11+D$12*F41+E$15*F41^2</f>
        <v>9.2221291631635671E-2</v>
      </c>
      <c r="Q41" s="2">
        <f>+C41-15018.5</f>
        <v>29268.273000000001</v>
      </c>
      <c r="R41">
        <f>+(P41-G41)^2</f>
        <v>1.0704238866048306E-2</v>
      </c>
    </row>
    <row r="42" spans="1:32" x14ac:dyDescent="0.2">
      <c r="A42" t="s">
        <v>37</v>
      </c>
      <c r="C42" s="16">
        <v>44481.883000000002</v>
      </c>
      <c r="D42" s="16"/>
      <c r="E42">
        <f>+(C42-C$7)/C$8</f>
        <v>12219.005125212636</v>
      </c>
      <c r="F42">
        <f>ROUND(2*E42,0)/2</f>
        <v>12219</v>
      </c>
      <c r="G42">
        <f>+C42-(C$7+F42*C$8)</f>
        <v>5.5859999993117526E-3</v>
      </c>
      <c r="I42">
        <f>G42</f>
        <v>5.5859999993117526E-3</v>
      </c>
      <c r="P42">
        <f>+D$11+D$12*F42+E$15*F42^2</f>
        <v>8.613921548422443E-2</v>
      </c>
      <c r="Q42" s="2">
        <f>+C42-15018.5</f>
        <v>29463.383000000002</v>
      </c>
      <c r="AA42" t="s">
        <v>30</v>
      </c>
      <c r="AF42" t="s">
        <v>38</v>
      </c>
    </row>
    <row r="43" spans="1:32" x14ac:dyDescent="0.2">
      <c r="A43" t="s">
        <v>39</v>
      </c>
      <c r="C43" s="16">
        <v>44633.370999999999</v>
      </c>
      <c r="D43" s="16"/>
      <c r="E43">
        <f>+(C43-C$7)/C$8</f>
        <v>12357.996928175457</v>
      </c>
      <c r="F43">
        <f>ROUND(2*E43,0)/2</f>
        <v>12358</v>
      </c>
      <c r="G43">
        <f>+C43-(C$7+F43*C$8)</f>
        <v>-3.3479999983683228E-3</v>
      </c>
      <c r="I43">
        <f>G43</f>
        <v>-3.3479999983683228E-3</v>
      </c>
      <c r="P43">
        <f>+D$11+D$12*F43+E$15*F43^2</f>
        <v>8.1499423111118963E-2</v>
      </c>
      <c r="Q43" s="2">
        <f>+C43-15018.5</f>
        <v>29614.870999999999</v>
      </c>
      <c r="AA43" t="s">
        <v>30</v>
      </c>
      <c r="AF43" t="s">
        <v>38</v>
      </c>
    </row>
    <row r="44" spans="1:32" x14ac:dyDescent="0.2">
      <c r="A44" s="105" t="s">
        <v>243</v>
      </c>
      <c r="B44" s="106" t="s">
        <v>74</v>
      </c>
      <c r="C44" s="107">
        <v>44660.625999999997</v>
      </c>
      <c r="D44" s="16"/>
      <c r="E44" s="89">
        <f>+(C44-C$7)/C$8</f>
        <v>12383.003671876288</v>
      </c>
      <c r="F44">
        <f>ROUND(2*E44,0)/2</f>
        <v>12383</v>
      </c>
      <c r="G44">
        <f>+C44-(C$7+F44*C$8)</f>
        <v>4.0019999942160212E-3</v>
      </c>
      <c r="I44">
        <f>G44</f>
        <v>4.0019999942160212E-3</v>
      </c>
      <c r="P44">
        <f>+D$11+D$12*F44+E$15*F44^2</f>
        <v>8.0672641724452987E-2</v>
      </c>
      <c r="Q44" s="2">
        <f>+C44-15018.5</f>
        <v>29642.125999999997</v>
      </c>
      <c r="R44">
        <f>+(P44-G44)^2</f>
        <v>5.8783873033263542E-3</v>
      </c>
    </row>
    <row r="45" spans="1:32" x14ac:dyDescent="0.2">
      <c r="A45" t="s">
        <v>39</v>
      </c>
      <c r="C45" s="16">
        <v>45022.442999999999</v>
      </c>
      <c r="D45" s="16"/>
      <c r="E45">
        <f>+(C45-C$7)/C$8</f>
        <v>12714.974502388279</v>
      </c>
      <c r="F45">
        <f>ROUND(2*E45,0)/2</f>
        <v>12715</v>
      </c>
      <c r="G45">
        <f>+C45-(C$7+F45*C$8)</f>
        <v>-2.7790000000095461E-2</v>
      </c>
      <c r="I45">
        <f>G45</f>
        <v>-2.7790000000095461E-2</v>
      </c>
      <c r="P45">
        <f>+D$11+D$12*F45+E$15*F45^2</f>
        <v>6.9915973201465476E-2</v>
      </c>
      <c r="Q45" s="2">
        <f>+C45-15018.5</f>
        <v>30003.942999999999</v>
      </c>
      <c r="AA45" t="s">
        <v>30</v>
      </c>
      <c r="AF45" t="s">
        <v>38</v>
      </c>
    </row>
    <row r="46" spans="1:32" x14ac:dyDescent="0.2">
      <c r="A46" s="105" t="s">
        <v>243</v>
      </c>
      <c r="B46" s="106" t="s">
        <v>74</v>
      </c>
      <c r="C46" s="107">
        <v>45060.625999999997</v>
      </c>
      <c r="D46" s="16"/>
      <c r="E46" s="89">
        <f>+(C46-C$7)/C$8</f>
        <v>12750.007798837696</v>
      </c>
      <c r="F46">
        <f>ROUND(2*E46,0)/2</f>
        <v>12750</v>
      </c>
      <c r="G46">
        <f>+C46-(C$7+F46*C$8)</f>
        <v>8.4999999962747097E-3</v>
      </c>
      <c r="I46">
        <f>G46</f>
        <v>8.4999999962747097E-3</v>
      </c>
      <c r="P46">
        <f>+D$11+D$12*F46+E$15*F46^2</f>
        <v>6.8806153345699506E-2</v>
      </c>
      <c r="Q46" s="2">
        <f>+C46-15018.5</f>
        <v>30042.125999999997</v>
      </c>
      <c r="R46">
        <f>+(P46-G46)^2</f>
        <v>3.6368321318043396E-3</v>
      </c>
    </row>
    <row r="47" spans="1:32" x14ac:dyDescent="0.2">
      <c r="A47" s="105" t="s">
        <v>243</v>
      </c>
      <c r="B47" s="106" t="s">
        <v>74</v>
      </c>
      <c r="C47" s="107">
        <v>45753.781999999999</v>
      </c>
      <c r="D47" s="16"/>
      <c r="E47" s="89">
        <f>+(C47-C$7)/C$8</f>
        <v>13385.985580407851</v>
      </c>
      <c r="F47">
        <f>ROUND(2*E47,0)/2</f>
        <v>13386</v>
      </c>
      <c r="G47">
        <f>+C47-(C$7+F47*C$8)</f>
        <v>-1.5716000001702923E-2</v>
      </c>
      <c r="I47">
        <f>G47</f>
        <v>-1.5716000001702923E-2</v>
      </c>
      <c r="P47">
        <f>+D$11+D$12*F47+E$15*F47^2</f>
        <v>4.9442029904284646E-2</v>
      </c>
      <c r="Q47" s="2">
        <f>+C47-15018.5</f>
        <v>30735.281999999999</v>
      </c>
      <c r="R47">
        <f>+(P47-G47)^2</f>
        <v>4.2455688612295702E-3</v>
      </c>
    </row>
    <row r="48" spans="1:32" x14ac:dyDescent="0.2">
      <c r="A48" t="s">
        <v>40</v>
      </c>
      <c r="C48" s="16">
        <v>46112.364000000001</v>
      </c>
      <c r="D48" s="16"/>
      <c r="E48">
        <f>+(C48-C$7)/C$8</f>
        <v>13714.988265043043</v>
      </c>
      <c r="F48">
        <f>ROUND(2*E48,0)/2</f>
        <v>13715</v>
      </c>
      <c r="G48">
        <f>+C48-(C$7+F48*C$8)</f>
        <v>-1.2790000000677537E-2</v>
      </c>
      <c r="I48">
        <f>G48</f>
        <v>-1.2790000000677537E-2</v>
      </c>
      <c r="P48">
        <f>+D$11+D$12*F48+E$15*F48^2</f>
        <v>4.0022362980352499E-2</v>
      </c>
      <c r="Q48" s="2">
        <f>+C48-15018.5</f>
        <v>31093.864000000001</v>
      </c>
      <c r="AA48" t="s">
        <v>30</v>
      </c>
      <c r="AF48" t="s">
        <v>38</v>
      </c>
    </row>
    <row r="49" spans="1:32" x14ac:dyDescent="0.2">
      <c r="A49" t="s">
        <v>40</v>
      </c>
      <c r="C49" s="16">
        <v>46112.37</v>
      </c>
      <c r="D49" s="16"/>
      <c r="E49">
        <f>+(C49-C$7)/C$8</f>
        <v>13714.993770104948</v>
      </c>
      <c r="F49">
        <f>ROUND(2*E49,0)/2</f>
        <v>13715</v>
      </c>
      <c r="G49">
        <f>+C49-(C$7+F49*C$8)</f>
        <v>-6.7899999994551763E-3</v>
      </c>
      <c r="I49">
        <f>G49</f>
        <v>-6.7899999994551763E-3</v>
      </c>
      <c r="P49">
        <f>+D$11+D$12*F49+E$15*F49^2</f>
        <v>4.0022362980352499E-2</v>
      </c>
      <c r="Q49" s="2">
        <f>+C49-15018.5</f>
        <v>31093.870000000003</v>
      </c>
      <c r="AA49" t="s">
        <v>30</v>
      </c>
      <c r="AF49" t="s">
        <v>38</v>
      </c>
    </row>
    <row r="50" spans="1:32" x14ac:dyDescent="0.2">
      <c r="A50" t="s">
        <v>40</v>
      </c>
      <c r="C50" s="16">
        <v>46112.377999999997</v>
      </c>
      <c r="D50" s="16"/>
      <c r="E50">
        <f>+(C50-C$7)/C$8</f>
        <v>13715.001110187482</v>
      </c>
      <c r="F50">
        <f>ROUND(2*E50,0)/2</f>
        <v>13715</v>
      </c>
      <c r="G50">
        <f>+C50-(C$7+F50*C$8)</f>
        <v>1.2099999948986806E-3</v>
      </c>
      <c r="I50">
        <f>G50</f>
        <v>1.2099999948986806E-3</v>
      </c>
      <c r="P50">
        <f>+D$11+D$12*F50+E$15*F50^2</f>
        <v>4.0022362980352499E-2</v>
      </c>
      <c r="Q50" s="2">
        <f>+C50-15018.5</f>
        <v>31093.877999999997</v>
      </c>
      <c r="AA50" t="s">
        <v>30</v>
      </c>
      <c r="AF50" t="s">
        <v>38</v>
      </c>
    </row>
    <row r="51" spans="1:32" x14ac:dyDescent="0.2">
      <c r="A51" t="s">
        <v>41</v>
      </c>
      <c r="C51" s="16">
        <v>46113.453000000001</v>
      </c>
      <c r="D51" s="16"/>
      <c r="E51">
        <f>+(C51-C$7)/C$8</f>
        <v>13715.987433778695</v>
      </c>
      <c r="F51">
        <f>ROUND(2*E51,0)/2</f>
        <v>13716</v>
      </c>
      <c r="G51">
        <f>+C51-(C$7+F51*C$8)</f>
        <v>-1.3696000001800712E-2</v>
      </c>
      <c r="I51">
        <f>G51</f>
        <v>-1.3696000001800712E-2</v>
      </c>
      <c r="P51">
        <f>+D$11+D$12*F51+E$15*F51^2</f>
        <v>3.9994352628207552E-2</v>
      </c>
      <c r="Q51" s="2">
        <f>+C51-15018.5</f>
        <v>31094.953000000001</v>
      </c>
      <c r="AA51" t="s">
        <v>30</v>
      </c>
    </row>
    <row r="52" spans="1:32" x14ac:dyDescent="0.2">
      <c r="A52" t="s">
        <v>41</v>
      </c>
      <c r="C52" s="16">
        <v>46136.347999999998</v>
      </c>
      <c r="D52" s="16"/>
      <c r="E52">
        <f>+(C52-C$7)/C$8</f>
        <v>13736.993832495646</v>
      </c>
      <c r="F52">
        <f>ROUND(2*E52,0)/2</f>
        <v>13737</v>
      </c>
      <c r="G52">
        <f>+C52-(C$7+F52*C$8)</f>
        <v>-6.7220000055385754E-3</v>
      </c>
      <c r="I52">
        <f>G52</f>
        <v>-6.7220000055385754E-3</v>
      </c>
      <c r="P52">
        <f>+D$11+D$12*F52+E$15*F52^2</f>
        <v>3.9407004429200587E-2</v>
      </c>
      <c r="Q52" s="2">
        <f>+C52-15018.5</f>
        <v>31117.847999999998</v>
      </c>
      <c r="AA52" t="s">
        <v>30</v>
      </c>
    </row>
    <row r="53" spans="1:32" x14ac:dyDescent="0.2">
      <c r="A53" s="105" t="s">
        <v>271</v>
      </c>
      <c r="B53" s="106" t="s">
        <v>74</v>
      </c>
      <c r="C53" s="107">
        <v>46196.288999999997</v>
      </c>
      <c r="D53" s="16"/>
      <c r="E53" s="89">
        <f>+(C53-C$7)/C$8</f>
        <v>13791.990318431128</v>
      </c>
      <c r="F53">
        <f>ROUND(2*E53,0)/2</f>
        <v>13792</v>
      </c>
      <c r="G53">
        <f>+C53-(C$7+F53*C$8)</f>
        <v>-1.0551999999734107E-2</v>
      </c>
      <c r="I53">
        <f>G53</f>
        <v>-1.0551999999734107E-2</v>
      </c>
      <c r="P53">
        <f>+D$11+D$12*F53+E$15*F53^2</f>
        <v>3.7876575681643099E-2</v>
      </c>
      <c r="Q53" s="2">
        <f>+C53-15018.5</f>
        <v>31177.788999999997</v>
      </c>
      <c r="R53">
        <f>+(P53-G53)^2</f>
        <v>2.3453269425268799E-3</v>
      </c>
    </row>
    <row r="54" spans="1:32" x14ac:dyDescent="0.2">
      <c r="A54" t="s">
        <v>43</v>
      </c>
      <c r="C54" s="16">
        <v>46561.42</v>
      </c>
      <c r="D54" s="16"/>
      <c r="E54">
        <f>+(C54-C$7)/C$8</f>
        <v>14127.001778134994</v>
      </c>
      <c r="F54">
        <f>ROUND(2*E54,0)/2</f>
        <v>14127</v>
      </c>
      <c r="G54">
        <f>+C54-(C$7+F54*C$8)</f>
        <v>1.9380000012461096E-3</v>
      </c>
      <c r="I54">
        <f>G54</f>
        <v>1.9380000012461096E-3</v>
      </c>
      <c r="P54">
        <f>+D$11+D$12*F54+E$15*F54^2</f>
        <v>2.8800675175951862E-2</v>
      </c>
      <c r="Q54" s="2">
        <f>+C54-15018.5</f>
        <v>31542.92</v>
      </c>
      <c r="AA54" t="s">
        <v>30</v>
      </c>
      <c r="AB54">
        <v>19</v>
      </c>
      <c r="AD54" t="s">
        <v>42</v>
      </c>
      <c r="AF54" t="s">
        <v>33</v>
      </c>
    </row>
    <row r="55" spans="1:32" x14ac:dyDescent="0.2">
      <c r="A55" s="105" t="s">
        <v>243</v>
      </c>
      <c r="B55" s="106" t="s">
        <v>74</v>
      </c>
      <c r="C55" s="107">
        <v>46820.769</v>
      </c>
      <c r="D55" s="16"/>
      <c r="E55" s="89">
        <f>+(C55-C$7)/C$8</f>
        <v>14364.957161443281</v>
      </c>
      <c r="F55">
        <f>ROUND(2*E55,0)/2</f>
        <v>14365</v>
      </c>
      <c r="G55">
        <f>+C55-(C$7+F55*C$8)</f>
        <v>-4.6690000002854504E-2</v>
      </c>
      <c r="I55">
        <f>G55</f>
        <v>-4.6690000002854504E-2</v>
      </c>
      <c r="P55">
        <f>+D$11+D$12*F55+E$15*F55^2</f>
        <v>2.2609292846887175E-2</v>
      </c>
      <c r="Q55" s="2">
        <f>+C55-15018.5</f>
        <v>31802.269</v>
      </c>
      <c r="R55">
        <f>+(P55-G55)^2</f>
        <v>4.8023919894742582E-3</v>
      </c>
    </row>
    <row r="56" spans="1:32" x14ac:dyDescent="0.2">
      <c r="A56" s="105" t="s">
        <v>243</v>
      </c>
      <c r="B56" s="106" t="s">
        <v>74</v>
      </c>
      <c r="C56" s="107">
        <v>46915.631999999998</v>
      </c>
      <c r="D56" s="16"/>
      <c r="E56" s="89">
        <f>+(C56-C$7)/C$8</f>
        <v>14451.994942683128</v>
      </c>
      <c r="F56">
        <f>ROUND(2*E56,0)/2</f>
        <v>14452</v>
      </c>
      <c r="G56">
        <f>+C56-(C$7+F56*C$8)</f>
        <v>-5.5120000033639371E-3</v>
      </c>
      <c r="I56">
        <f>G56</f>
        <v>-5.5120000033639371E-3</v>
      </c>
      <c r="P56">
        <f>+D$11+D$12*F56+E$15*F56^2</f>
        <v>2.0399252375467469E-2</v>
      </c>
      <c r="Q56" s="2">
        <f>+C56-15018.5</f>
        <v>31897.131999999998</v>
      </c>
      <c r="R56">
        <f>+(P56-G56)^2</f>
        <v>6.7139299983949617E-4</v>
      </c>
    </row>
    <row r="57" spans="1:32" x14ac:dyDescent="0.2">
      <c r="A57" t="s">
        <v>44</v>
      </c>
      <c r="C57" s="16">
        <v>47555.381999999998</v>
      </c>
      <c r="D57" s="16"/>
      <c r="E57">
        <f>+(C57-C$7)/C$8</f>
        <v>15038.97216824203</v>
      </c>
      <c r="F57">
        <f>ROUND(2*E57,0)/2</f>
        <v>15039</v>
      </c>
      <c r="G57">
        <f>+C57-(C$7+F57*C$8)</f>
        <v>-3.0334000002767425E-2</v>
      </c>
      <c r="I57">
        <f>G57</f>
        <v>-3.0334000002767425E-2</v>
      </c>
      <c r="P57">
        <f>+D$11+D$12*F57+E$15*F57^2</f>
        <v>6.2321739990466862E-3</v>
      </c>
      <c r="Q57" s="2">
        <f>+C57-15018.5</f>
        <v>32536.881999999998</v>
      </c>
      <c r="AA57" t="s">
        <v>28</v>
      </c>
      <c r="AF57" t="s">
        <v>38</v>
      </c>
    </row>
    <row r="58" spans="1:32" x14ac:dyDescent="0.2">
      <c r="A58" t="s">
        <v>44</v>
      </c>
      <c r="C58" s="16">
        <v>47592.440999999999</v>
      </c>
      <c r="D58" s="16"/>
      <c r="E58">
        <f>+(C58-C$7)/C$8</f>
        <v>15072.974183094688</v>
      </c>
      <c r="F58">
        <f>ROUND(2*E58,0)/2</f>
        <v>15073</v>
      </c>
      <c r="G58">
        <f>+C58-(C$7+F58*C$8)</f>
        <v>-2.8138000001490582E-2</v>
      </c>
      <c r="I58">
        <f>G58</f>
        <v>-2.8138000001490582E-2</v>
      </c>
      <c r="P58">
        <f>+D$11+D$12*F58+E$15*F58^2</f>
        <v>5.4513170377910591E-3</v>
      </c>
      <c r="Q58" s="2">
        <f>+C58-15018.5</f>
        <v>32573.940999999999</v>
      </c>
      <c r="AA58" t="s">
        <v>28</v>
      </c>
      <c r="AF58" t="s">
        <v>38</v>
      </c>
    </row>
    <row r="59" spans="1:32" x14ac:dyDescent="0.2">
      <c r="A59" t="s">
        <v>45</v>
      </c>
      <c r="C59" s="16">
        <v>47860.553</v>
      </c>
      <c r="D59" s="16"/>
      <c r="E59">
        <f>+(C59-C$7)/C$8</f>
        <v>15318.969709314382</v>
      </c>
      <c r="F59">
        <f>ROUND(2*E59,0)/2</f>
        <v>15319</v>
      </c>
      <c r="G59">
        <f>+C59-(C$7+F59*C$8)</f>
        <v>-3.3014000000548549E-2</v>
      </c>
      <c r="I59">
        <f>G59</f>
        <v>-3.3014000000548549E-2</v>
      </c>
      <c r="P59">
        <f>+D$11+D$12*F59+E$15*F59^2</f>
        <v>-6.8823513641180778E-5</v>
      </c>
      <c r="Q59" s="2">
        <f>+C59-15018.5</f>
        <v>32842.053</v>
      </c>
      <c r="AA59" t="s">
        <v>28</v>
      </c>
      <c r="AF59" t="s">
        <v>38</v>
      </c>
    </row>
    <row r="60" spans="1:32" x14ac:dyDescent="0.2">
      <c r="A60" t="s">
        <v>46</v>
      </c>
      <c r="C60" s="16">
        <v>48272.553</v>
      </c>
      <c r="D60" s="16"/>
      <c r="E60">
        <f>+(C60-C$7)/C$8</f>
        <v>15696.983960084632</v>
      </c>
      <c r="F60">
        <f>ROUND(2*E60,0)/2</f>
        <v>15697</v>
      </c>
      <c r="G60">
        <f>+C60-(C$7+F60*C$8)</f>
        <v>-1.7481999995652586E-2</v>
      </c>
      <c r="I60">
        <f>G60</f>
        <v>-1.7481999995652586E-2</v>
      </c>
      <c r="P60">
        <f>+D$11+D$12*F60+E$15*F60^2</f>
        <v>-8.1072266175534757E-3</v>
      </c>
      <c r="Q60" s="2">
        <f>+C60-15018.5</f>
        <v>33254.053</v>
      </c>
      <c r="AA60" t="s">
        <v>30</v>
      </c>
      <c r="AF60" t="s">
        <v>38</v>
      </c>
    </row>
    <row r="61" spans="1:32" x14ac:dyDescent="0.2">
      <c r="A61" s="105" t="s">
        <v>243</v>
      </c>
      <c r="B61" s="106" t="s">
        <v>74</v>
      </c>
      <c r="C61" s="107">
        <v>49061.63</v>
      </c>
      <c r="D61" s="16"/>
      <c r="E61" s="89">
        <f>+(C61-C$7)/C$8</f>
        <v>16420.970248810445</v>
      </c>
      <c r="F61">
        <f>ROUND(2*E61,0)/2</f>
        <v>16421</v>
      </c>
      <c r="G61">
        <f>+C61-(C$7+F61*C$8)</f>
        <v>-3.242599999794038E-2</v>
      </c>
      <c r="I61">
        <f>G61</f>
        <v>-3.242599999794038E-2</v>
      </c>
      <c r="P61">
        <f>+D$11+D$12*F61+E$15*F61^2</f>
        <v>-2.2002480454737738E-2</v>
      </c>
      <c r="Q61" s="2">
        <f>+C61-15018.5</f>
        <v>34043.129999999997</v>
      </c>
      <c r="R61">
        <f>+(P61-G61)^2</f>
        <v>1.0864975966752741E-4</v>
      </c>
    </row>
    <row r="62" spans="1:32" x14ac:dyDescent="0.2">
      <c r="A62" t="s">
        <v>48</v>
      </c>
      <c r="C62" s="16">
        <v>49787.502999999997</v>
      </c>
      <c r="D62" s="16">
        <v>5.0000000000000001E-3</v>
      </c>
      <c r="E62">
        <f>+(C62-C$7)/C$8</f>
        <v>17086.966215435092</v>
      </c>
      <c r="F62">
        <f>ROUND(2*E62,0)/2</f>
        <v>17087</v>
      </c>
      <c r="G62">
        <f>+C62-(C$7+F62*C$8)</f>
        <v>-3.682200000184821E-2</v>
      </c>
      <c r="I62">
        <f>G62</f>
        <v>-3.682200000184821E-2</v>
      </c>
      <c r="P62">
        <f>+D$11+D$12*F62+E$15*F62^2</f>
        <v>-3.3042912931949719E-2</v>
      </c>
      <c r="Q62" s="2">
        <f>+C62-15018.5</f>
        <v>34769.002999999997</v>
      </c>
      <c r="R62">
        <f>+(P62-G62)^2</f>
        <v>1.4281499081873957E-5</v>
      </c>
      <c r="AA62" t="s">
        <v>47</v>
      </c>
      <c r="AB62">
        <v>31</v>
      </c>
      <c r="AD62" t="s">
        <v>42</v>
      </c>
      <c r="AF62" t="s">
        <v>33</v>
      </c>
    </row>
    <row r="63" spans="1:32" x14ac:dyDescent="0.2">
      <c r="A63" s="105" t="s">
        <v>243</v>
      </c>
      <c r="B63" s="106" t="s">
        <v>74</v>
      </c>
      <c r="C63" s="107">
        <v>49801.673999999999</v>
      </c>
      <c r="D63" s="16"/>
      <c r="E63" s="89">
        <f>+(C63-C$7)/C$8</f>
        <v>17099.968254143016</v>
      </c>
      <c r="F63">
        <f>ROUND(2*E63,0)/2</f>
        <v>17100</v>
      </c>
      <c r="G63">
        <f>+C63-(C$7+F63*C$8)</f>
        <v>-3.4599999999045394E-2</v>
      </c>
      <c r="I63">
        <f>G63</f>
        <v>-3.4599999999045394E-2</v>
      </c>
      <c r="P63">
        <f>+D$11+D$12*F63+E$15*F63^2</f>
        <v>-3.3241809957065716E-2</v>
      </c>
      <c r="Q63" s="2">
        <f>+C63-15018.5</f>
        <v>34783.173999999999</v>
      </c>
      <c r="R63">
        <f>+(P63-G63)^2</f>
        <v>1.8446801901327619E-6</v>
      </c>
    </row>
    <row r="64" spans="1:32" x14ac:dyDescent="0.2">
      <c r="A64" t="s">
        <v>49</v>
      </c>
      <c r="C64" s="16">
        <v>49810.3943</v>
      </c>
      <c r="D64" s="16"/>
      <c r="E64">
        <f>+(C64-C$7)/C$8</f>
        <v>17107.969219363873</v>
      </c>
      <c r="F64">
        <f>ROUND(2*E64,0)/2</f>
        <v>17108</v>
      </c>
      <c r="G64">
        <f>+C64-(C$7+F64*C$8)</f>
        <v>-3.3547999999427702E-2</v>
      </c>
      <c r="I64">
        <f>G64</f>
        <v>-3.3547999999427702E-2</v>
      </c>
      <c r="P64">
        <f>+D$11+D$12*F64+E$15*F64^2</f>
        <v>-3.3363892055082278E-2</v>
      </c>
      <c r="Q64" s="2">
        <f>+C64-15018.5</f>
        <v>34791.8943</v>
      </c>
      <c r="R64">
        <f>+(P64-G64)^2</f>
        <v>3.3895735171097776E-8</v>
      </c>
      <c r="AA64" t="s">
        <v>47</v>
      </c>
      <c r="AF64" t="s">
        <v>38</v>
      </c>
    </row>
    <row r="65" spans="1:32" x14ac:dyDescent="0.2">
      <c r="A65" s="105" t="s">
        <v>243</v>
      </c>
      <c r="B65" s="106" t="s">
        <v>74</v>
      </c>
      <c r="C65" s="107">
        <v>50164.631999999998</v>
      </c>
      <c r="D65" s="16"/>
      <c r="E65" s="89">
        <f>+(C65-C$7)/C$8</f>
        <v>17432.985963927164</v>
      </c>
      <c r="F65">
        <f>ROUND(2*E65,0)/2</f>
        <v>17433</v>
      </c>
      <c r="G65">
        <f>+C65-(C$7+F65*C$8)</f>
        <v>-1.5297999998438172E-2</v>
      </c>
      <c r="I65">
        <f>G65</f>
        <v>-1.5297999998438172E-2</v>
      </c>
      <c r="P65">
        <f>+D$11+D$12*F65+E$15*F65^2</f>
        <v>-3.8119865293700594E-2</v>
      </c>
      <c r="Q65" s="2">
        <f>+C65-15018.5</f>
        <v>35146.131999999998</v>
      </c>
      <c r="R65">
        <f>+(P65-G65)^2</f>
        <v>5.2083753555510343E-4</v>
      </c>
    </row>
    <row r="66" spans="1:32" x14ac:dyDescent="0.2">
      <c r="A66" s="105" t="s">
        <v>341</v>
      </c>
      <c r="B66" s="106" t="s">
        <v>74</v>
      </c>
      <c r="C66" s="107">
        <v>50186.410199999998</v>
      </c>
      <c r="D66" s="16"/>
      <c r="E66" s="89">
        <f>+(C66-C$7)/C$8</f>
        <v>17452.96768712164</v>
      </c>
      <c r="F66">
        <f>ROUND(2*E66,0)/2</f>
        <v>17453</v>
      </c>
      <c r="G66">
        <f>+C66-(C$7+F66*C$8)</f>
        <v>-3.5218000004533678E-2</v>
      </c>
      <c r="J66">
        <f>G66</f>
        <v>-3.5218000004533678E-2</v>
      </c>
      <c r="P66">
        <f>+D$11+D$12*F66+E$15*F66^2</f>
        <v>-3.8399559070696476E-2</v>
      </c>
      <c r="Q66" s="2">
        <f>+C66-15018.5</f>
        <v>35167.910199999998</v>
      </c>
      <c r="R66">
        <f>+(P66-G66)^2</f>
        <v>1.0122318091482695E-5</v>
      </c>
    </row>
    <row r="67" spans="1:32" x14ac:dyDescent="0.2">
      <c r="A67" t="s">
        <v>51</v>
      </c>
      <c r="C67" s="16">
        <v>50210.383000000002</v>
      </c>
      <c r="D67" s="16">
        <v>1.6999999999999999E-3</v>
      </c>
      <c r="E67">
        <f>+(C67-C$7)/C$8</f>
        <v>17474.962978458694</v>
      </c>
      <c r="F67">
        <f>ROUND(2*E67,0)/2</f>
        <v>17475</v>
      </c>
      <c r="G67">
        <f>+C67-(C$7+F67*C$8)</f>
        <v>-4.034999999566935E-2</v>
      </c>
      <c r="J67">
        <f>G67</f>
        <v>-4.034999999566935E-2</v>
      </c>
      <c r="P67">
        <f>+D$11+D$12*F67+E$15*F67^2</f>
        <v>-3.8705483833321397E-2</v>
      </c>
      <c r="Q67" s="2">
        <f>+C67-15018.5</f>
        <v>35191.883000000002</v>
      </c>
      <c r="R67">
        <f>+(P67-G67)^2</f>
        <v>2.7044334082236395E-6</v>
      </c>
      <c r="AB67">
        <v>27</v>
      </c>
      <c r="AD67" t="s">
        <v>50</v>
      </c>
      <c r="AF67" t="s">
        <v>33</v>
      </c>
    </row>
    <row r="68" spans="1:32" x14ac:dyDescent="0.2">
      <c r="A68" t="s">
        <v>51</v>
      </c>
      <c r="C68" s="16">
        <v>50210.383399999999</v>
      </c>
      <c r="D68" s="16">
        <v>1.6999999999999999E-3</v>
      </c>
      <c r="E68">
        <f>+(C68-C$7)/C$8</f>
        <v>17474.96334546282</v>
      </c>
      <c r="F68">
        <f>ROUND(2*E68,0)/2</f>
        <v>17475</v>
      </c>
      <c r="G68">
        <f>+C68-(C$7+F68*C$8)</f>
        <v>-3.9949999998498242E-2</v>
      </c>
      <c r="J68">
        <f>G68</f>
        <v>-3.9949999998498242E-2</v>
      </c>
      <c r="P68">
        <f>+D$11+D$12*F68+E$15*F68^2</f>
        <v>-3.8705483833321397E-2</v>
      </c>
      <c r="Q68" s="2">
        <f>+C68-15018.5</f>
        <v>35191.883399999999</v>
      </c>
      <c r="R68">
        <f>+(P68-G68)^2</f>
        <v>1.5488204853864814E-6</v>
      </c>
      <c r="AA68" t="s">
        <v>52</v>
      </c>
      <c r="AB68">
        <v>27</v>
      </c>
      <c r="AD68" t="s">
        <v>50</v>
      </c>
      <c r="AF68" t="s">
        <v>33</v>
      </c>
    </row>
    <row r="69" spans="1:32" x14ac:dyDescent="0.2">
      <c r="A69" s="105" t="s">
        <v>341</v>
      </c>
      <c r="B69" s="106" t="s">
        <v>74</v>
      </c>
      <c r="C69" s="107">
        <v>50515.555699999997</v>
      </c>
      <c r="D69" s="16"/>
      <c r="E69" s="89">
        <f>+(C69-C$7)/C$8</f>
        <v>17754.962079298581</v>
      </c>
      <c r="F69">
        <f>ROUND(2*E69,0)/2</f>
        <v>17755</v>
      </c>
      <c r="G69">
        <f>+C69-(C$7+F69*C$8)</f>
        <v>-4.1330000007292256E-2</v>
      </c>
      <c r="J69">
        <f>G69</f>
        <v>-4.1330000007292256E-2</v>
      </c>
      <c r="P69">
        <f>+D$11+D$12*F69+E$15*F69^2</f>
        <v>-4.2439982507563201E-2</v>
      </c>
      <c r="Q69" s="2">
        <f>+C69-15018.5</f>
        <v>35497.055699999997</v>
      </c>
      <c r="R69">
        <f>+(P69-G69)^2</f>
        <v>1.2320611509077387E-6</v>
      </c>
    </row>
    <row r="70" spans="1:32" x14ac:dyDescent="0.2">
      <c r="A70" t="s">
        <v>58</v>
      </c>
      <c r="B70" s="5" t="s">
        <v>57</v>
      </c>
      <c r="C70" s="16">
        <v>50888.300499999998</v>
      </c>
      <c r="D70" s="16">
        <v>1.6000000000000001E-3</v>
      </c>
      <c r="E70">
        <f>+(C70-C$7)/C$8</f>
        <v>18096.95927905709</v>
      </c>
      <c r="F70">
        <f>ROUND(2*E70,0)/2</f>
        <v>18097</v>
      </c>
      <c r="G70">
        <f>+C70-(C$7+F70*C$8)</f>
        <v>-4.4382000007317401E-2</v>
      </c>
      <c r="J70">
        <f>G70</f>
        <v>-4.4382000007317401E-2</v>
      </c>
      <c r="P70">
        <f>+D$11+D$12*F70+E$15*F70^2</f>
        <v>-4.6601191911211037E-2</v>
      </c>
      <c r="Q70" s="2">
        <f>+C70-15018.5</f>
        <v>35869.800499999998</v>
      </c>
      <c r="R70">
        <f>+(P70-G70)^2</f>
        <v>4.9248127063070604E-6</v>
      </c>
    </row>
    <row r="71" spans="1:32" x14ac:dyDescent="0.2">
      <c r="A71" t="s">
        <v>54</v>
      </c>
      <c r="C71" s="16">
        <v>50901.378499999999</v>
      </c>
      <c r="D71" s="16">
        <v>1E-3</v>
      </c>
      <c r="E71">
        <f>+(C71-C$7)/C$8</f>
        <v>18108.958478988097</v>
      </c>
      <c r="F71">
        <f>ROUND(2*E71,0)/2</f>
        <v>18109</v>
      </c>
      <c r="G71">
        <f>+C71-(C$7+F71*C$8)</f>
        <v>-4.5254000004206318E-2</v>
      </c>
      <c r="J71">
        <f>G71</f>
        <v>-4.5254000004206318E-2</v>
      </c>
      <c r="P71">
        <f>+D$11+D$12*F71+E$15*F71^2</f>
        <v>-4.6739207170487962E-2</v>
      </c>
      <c r="Q71" s="2">
        <f>+C71-15018.5</f>
        <v>35882.878499999999</v>
      </c>
      <c r="R71">
        <f>+(P71-G71)^2</f>
        <v>2.2058403267743496E-6</v>
      </c>
      <c r="AA71" t="s">
        <v>52</v>
      </c>
      <c r="AB71">
        <v>14</v>
      </c>
      <c r="AD71" t="s">
        <v>53</v>
      </c>
      <c r="AF71" t="s">
        <v>33</v>
      </c>
    </row>
    <row r="72" spans="1:32" x14ac:dyDescent="0.2">
      <c r="A72" t="s">
        <v>56</v>
      </c>
      <c r="B72" s="5" t="s">
        <v>57</v>
      </c>
      <c r="C72" s="16">
        <v>51241.428999999996</v>
      </c>
      <c r="D72" s="16">
        <v>2.5000000000000001E-3</v>
      </c>
      <c r="E72">
        <f>+(C72-C$7)/C$8</f>
        <v>18420.95832117632</v>
      </c>
      <c r="F72">
        <f>ROUND(2*E72,0)/2</f>
        <v>18421</v>
      </c>
      <c r="G72">
        <f>+C72-(C$7+F72*C$8)</f>
        <v>-4.5426000004226808E-2</v>
      </c>
      <c r="J72">
        <f>G72</f>
        <v>-4.5426000004226808E-2</v>
      </c>
      <c r="P72">
        <f>+D$11+D$12*F72+E$15*F72^2</f>
        <v>-5.0137419303880493E-2</v>
      </c>
      <c r="Q72" s="2">
        <f>+C72-15018.5</f>
        <v>36222.928999999996</v>
      </c>
      <c r="R72">
        <f>+(P72-G72)^2</f>
        <v>2.2197471817149221E-5</v>
      </c>
    </row>
    <row r="73" spans="1:32" x14ac:dyDescent="0.2">
      <c r="A73" s="105" t="s">
        <v>243</v>
      </c>
      <c r="B73" s="106" t="s">
        <v>74</v>
      </c>
      <c r="C73" s="107">
        <v>51995.635900000001</v>
      </c>
      <c r="D73" s="16"/>
      <c r="E73" s="89">
        <f>+(C73-C$7)/C$8</f>
        <v>19112.950933383247</v>
      </c>
      <c r="F73">
        <f>ROUND(2*E73,0)/2</f>
        <v>19113</v>
      </c>
      <c r="G73">
        <f>+C73-(C$7+F73*C$8)</f>
        <v>-5.3477999994356651E-2</v>
      </c>
      <c r="J73">
        <f>G73</f>
        <v>-5.3477999994356651E-2</v>
      </c>
      <c r="P73">
        <f>+D$11+D$12*F73+E$15*F73^2</f>
        <v>-5.6367359221669577E-2</v>
      </c>
      <c r="Q73" s="2">
        <f>+C73-15018.5</f>
        <v>36977.135900000001</v>
      </c>
      <c r="R73">
        <f>+(P73-G73)^2</f>
        <v>8.348396744458352E-6</v>
      </c>
    </row>
    <row r="74" spans="1:32" x14ac:dyDescent="0.2">
      <c r="A74" s="105" t="s">
        <v>243</v>
      </c>
      <c r="B74" s="106" t="s">
        <v>74</v>
      </c>
      <c r="C74" s="107">
        <v>51997.800999999999</v>
      </c>
      <c r="D74" s="16"/>
      <c r="E74" s="89">
        <f>+(C74-C$7)/C$8</f>
        <v>19114.937434971456</v>
      </c>
      <c r="F74">
        <f>ROUND(2*E74,0)/2</f>
        <v>19115</v>
      </c>
      <c r="P74">
        <f>+D$11+D$12*F74+E$15*F74^2</f>
        <v>-5.638275347750954E-2</v>
      </c>
      <c r="Q74" s="2">
        <f>+C74-15018.5</f>
        <v>36979.300999999999</v>
      </c>
      <c r="R74">
        <f>+(P74-U74)^2</f>
        <v>1.3941107039893263E-4</v>
      </c>
      <c r="U74">
        <f>+C74-(C$7+F74*C$8)</f>
        <v>-6.8189999998139683E-2</v>
      </c>
    </row>
    <row r="75" spans="1:32" x14ac:dyDescent="0.2">
      <c r="A75" s="105" t="s">
        <v>243</v>
      </c>
      <c r="B75" s="106" t="s">
        <v>74</v>
      </c>
      <c r="C75" s="107">
        <v>52007.624799999998</v>
      </c>
      <c r="D75" s="16"/>
      <c r="E75" s="89">
        <f>+(C75-C$7)/C$8</f>
        <v>19123.950872827561</v>
      </c>
      <c r="F75">
        <f>ROUND(2*E75,0)/2</f>
        <v>19124</v>
      </c>
      <c r="G75">
        <f>+C75-(C$7+F75*C$8)</f>
        <v>-5.3544000002148096E-2</v>
      </c>
      <c r="J75">
        <f>G75</f>
        <v>-5.3544000002148096E-2</v>
      </c>
      <c r="P75">
        <f>+D$11+D$12*F75+E$15*F75^2</f>
        <v>-5.6451841372495593E-2</v>
      </c>
      <c r="Q75" s="2">
        <f>+C75-15018.5</f>
        <v>36989.124799999998</v>
      </c>
      <c r="R75">
        <f>+(P75-G75)^2</f>
        <v>8.4555414351044089E-6</v>
      </c>
    </row>
    <row r="76" spans="1:32" x14ac:dyDescent="0.2">
      <c r="A76" s="105" t="s">
        <v>379</v>
      </c>
      <c r="B76" s="106" t="s">
        <v>74</v>
      </c>
      <c r="C76" s="107">
        <v>52344.404000000002</v>
      </c>
      <c r="D76" s="16"/>
      <c r="E76" s="89">
        <f>+(C76-C$7)/C$8</f>
        <v>19432.949263514471</v>
      </c>
      <c r="F76">
        <f>ROUND(2*E76,0)/2</f>
        <v>19433</v>
      </c>
      <c r="G76">
        <f>+C76-(C$7+F76*C$8)</f>
        <v>-5.5297999999311287E-2</v>
      </c>
      <c r="J76">
        <f>G76</f>
        <v>-5.5297999999311287E-2</v>
      </c>
      <c r="P76">
        <f>+D$11+D$12*F76+E$15*F76^2</f>
        <v>-5.8638991263100126E-2</v>
      </c>
      <c r="Q76" s="2">
        <f>+C76-15018.5</f>
        <v>37325.904000000002</v>
      </c>
      <c r="R76">
        <f>+(P76-G76)^2</f>
        <v>1.1162222624713346E-5</v>
      </c>
    </row>
    <row r="77" spans="1:32" x14ac:dyDescent="0.2">
      <c r="A77" s="105" t="s">
        <v>243</v>
      </c>
      <c r="B77" s="106" t="s">
        <v>74</v>
      </c>
      <c r="C77" s="107">
        <v>52371.652099999999</v>
      </c>
      <c r="D77" s="16"/>
      <c r="E77" s="89">
        <f>+(C77-C$7)/C$8</f>
        <v>19457.94967639411</v>
      </c>
      <c r="F77">
        <f>ROUND(2*E77,0)/2</f>
        <v>19458</v>
      </c>
      <c r="G77">
        <f>+C77-(C$7+F77*C$8)</f>
        <v>-5.4847999999765307E-2</v>
      </c>
      <c r="J77">
        <f>G77</f>
        <v>-5.4847999999765307E-2</v>
      </c>
      <c r="P77">
        <f>+D$11+D$12*F77+E$15*F77^2</f>
        <v>-5.8800235642303411E-2</v>
      </c>
      <c r="Q77" s="2">
        <f>+C77-15018.5</f>
        <v>37353.152099999999</v>
      </c>
      <c r="R77">
        <f>+(P77-G77)^2</f>
        <v>1.5620166574148585E-5</v>
      </c>
    </row>
    <row r="78" spans="1:32" x14ac:dyDescent="0.2">
      <c r="A78" s="105" t="s">
        <v>388</v>
      </c>
      <c r="B78" s="106" t="s">
        <v>74</v>
      </c>
      <c r="C78" s="107">
        <v>52634.317600000002</v>
      </c>
      <c r="D78" s="16"/>
      <c r="E78" s="89">
        <f>+(C78-C$7)/C$8</f>
        <v>19698.947982670066</v>
      </c>
      <c r="F78">
        <f>ROUND(2*E78,0)/2</f>
        <v>19699</v>
      </c>
      <c r="G78">
        <f>+C78-(C$7+F78*C$8)</f>
        <v>-5.6693999998969957E-2</v>
      </c>
      <c r="J78">
        <f>G78</f>
        <v>-5.6693999998969957E-2</v>
      </c>
      <c r="P78">
        <f>+D$11+D$12*F78+E$15*F78^2</f>
        <v>-6.0234023923121383E-2</v>
      </c>
      <c r="Q78" s="2">
        <f>+C78-15018.5</f>
        <v>37615.817600000002</v>
      </c>
      <c r="R78">
        <f>+(P78-G78)^2</f>
        <v>1.2531769383564456E-5</v>
      </c>
    </row>
    <row r="79" spans="1:32" x14ac:dyDescent="0.2">
      <c r="A79" s="13" t="s">
        <v>61</v>
      </c>
      <c r="B79" s="12"/>
      <c r="C79" s="17">
        <v>52648.483200000002</v>
      </c>
      <c r="D79" s="17">
        <v>2.9999999999999997E-4</v>
      </c>
      <c r="E79">
        <f>+(C79-C$7)/C$8</f>
        <v>19711.945066822278</v>
      </c>
      <c r="F79">
        <f>ROUND(2*E79,0)/2</f>
        <v>19712</v>
      </c>
      <c r="G79">
        <f>+C79-(C$7+F79*C$8)</f>
        <v>-5.9871999997994862E-2</v>
      </c>
      <c r="J79">
        <f>G79</f>
        <v>-5.9871999997994862E-2</v>
      </c>
      <c r="P79">
        <f>+D$11+D$12*F79+E$15*F79^2</f>
        <v>-6.0305152893818326E-2</v>
      </c>
      <c r="Q79" s="2">
        <f>+C79-15018.5</f>
        <v>37629.983200000002</v>
      </c>
      <c r="R79">
        <f>+(P79-G79)^2</f>
        <v>1.8762143116025195E-7</v>
      </c>
    </row>
    <row r="80" spans="1:32" x14ac:dyDescent="0.2">
      <c r="A80" s="105" t="s">
        <v>243</v>
      </c>
      <c r="B80" s="106" t="s">
        <v>74</v>
      </c>
      <c r="C80" s="107">
        <v>52651.758300000001</v>
      </c>
      <c r="D80" s="16"/>
      <c r="E80" s="89">
        <f>+(C80-C$7)/C$8</f>
        <v>19714.950004862807</v>
      </c>
      <c r="F80">
        <f>ROUND(2*E80,0)/2</f>
        <v>19715</v>
      </c>
      <c r="G80">
        <f>+C80-(C$7+F80*C$8)</f>
        <v>-5.4489999994984828E-2</v>
      </c>
      <c r="K80">
        <f>G80</f>
        <v>-5.4489999994984828E-2</v>
      </c>
      <c r="P80">
        <f>+D$11+D$12*F80+E$15*F80^2</f>
        <v>-6.032147696558976E-2</v>
      </c>
      <c r="Q80" s="2">
        <f>+C80-15018.5</f>
        <v>37633.258300000001</v>
      </c>
      <c r="R80">
        <f>+(P80-G80)^2</f>
        <v>3.4006123658695675E-5</v>
      </c>
    </row>
    <row r="81" spans="1:21" x14ac:dyDescent="0.2">
      <c r="A81" s="13" t="s">
        <v>61</v>
      </c>
      <c r="B81" s="12"/>
      <c r="C81" s="17">
        <v>52719.329299999998</v>
      </c>
      <c r="D81" s="17">
        <v>5.9999999999999995E-4</v>
      </c>
      <c r="E81">
        <f>+(C81-C$7)/C$8</f>
        <v>19776.947094520077</v>
      </c>
      <c r="F81">
        <f>ROUND(2*E81,0)/2</f>
        <v>19777</v>
      </c>
      <c r="G81">
        <f>+C81-(C$7+F81*C$8)</f>
        <v>-5.7662000006530434E-2</v>
      </c>
      <c r="J81">
        <f>G81</f>
        <v>-5.7662000006530434E-2</v>
      </c>
      <c r="P81">
        <f>+D$11+D$12*F81+E$15*F81^2</f>
        <v>-6.0651259167435301E-2</v>
      </c>
      <c r="Q81" s="2">
        <f>+C81-15018.5</f>
        <v>37700.829299999998</v>
      </c>
      <c r="R81">
        <f>+(P81-G81)^2</f>
        <v>8.9356703310536688E-6</v>
      </c>
    </row>
    <row r="82" spans="1:21" x14ac:dyDescent="0.2">
      <c r="A82" s="105" t="s">
        <v>409</v>
      </c>
      <c r="B82" s="106" t="s">
        <v>74</v>
      </c>
      <c r="C82" s="107">
        <v>52734.608</v>
      </c>
      <c r="D82" s="16"/>
      <c r="E82" s="89">
        <f>+(C82-C$7)/C$8</f>
        <v>19790.965459406591</v>
      </c>
      <c r="F82">
        <f>ROUND(2*E82,0)/2</f>
        <v>19791</v>
      </c>
      <c r="P82">
        <f>+D$11+D$12*F82+E$15*F82^2</f>
        <v>-6.0723724331431028E-2</v>
      </c>
      <c r="Q82" s="2">
        <f>+C82-15018.5</f>
        <v>37716.108</v>
      </c>
      <c r="R82">
        <f>+(P82-U82)^2</f>
        <v>5.3258136011834982E-4</v>
      </c>
      <c r="U82">
        <f>+C82-(C$7+F82*C$8)</f>
        <v>-3.7646000004315283E-2</v>
      </c>
    </row>
    <row r="83" spans="1:21" x14ac:dyDescent="0.2">
      <c r="A83" s="105" t="s">
        <v>243</v>
      </c>
      <c r="B83" s="106" t="s">
        <v>74</v>
      </c>
      <c r="C83" s="107">
        <v>52735.677000000003</v>
      </c>
      <c r="D83" s="16"/>
      <c r="E83" s="89">
        <f>+(C83-C$7)/C$8</f>
        <v>19791.946277935898</v>
      </c>
      <c r="F83">
        <f>ROUND(2*E83,0)/2</f>
        <v>19792</v>
      </c>
      <c r="G83">
        <f>+C83-(C$7+F83*C$8)</f>
        <v>-5.8551999994961079E-2</v>
      </c>
      <c r="K83">
        <f>G83</f>
        <v>-5.8551999994961079E-2</v>
      </c>
      <c r="P83">
        <f>+D$11+D$12*F83+E$15*F83^2</f>
        <v>-6.0728872193922978E-2</v>
      </c>
      <c r="Q83" s="2">
        <f>+C83-15018.5</f>
        <v>37717.177000000003</v>
      </c>
      <c r="R83">
        <f>+(P83-G83)^2</f>
        <v>4.7387725706132134E-6</v>
      </c>
    </row>
    <row r="84" spans="1:21" x14ac:dyDescent="0.2">
      <c r="A84" s="105" t="s">
        <v>243</v>
      </c>
      <c r="B84" s="106" t="s">
        <v>74</v>
      </c>
      <c r="C84" s="107">
        <v>52783.635999999999</v>
      </c>
      <c r="D84" s="16"/>
      <c r="E84" s="89">
        <f>+(C84-C$7)/C$8</f>
        <v>19835.94915524825</v>
      </c>
      <c r="F84">
        <f>ROUND(2*E84,0)/2</f>
        <v>19836</v>
      </c>
      <c r="G84">
        <f>+C84-(C$7+F84*C$8)</f>
        <v>-5.5416000002878718E-2</v>
      </c>
      <c r="K84">
        <f>G84</f>
        <v>-5.5416000002878718E-2</v>
      </c>
      <c r="P84">
        <f>+D$11+D$12*F84+E$15*F84^2</f>
        <v>-6.0951653017707885E-2</v>
      </c>
      <c r="Q84" s="2">
        <f>+C84-15018.5</f>
        <v>37765.135999999999</v>
      </c>
      <c r="R84">
        <f>+(P84-G84)^2</f>
        <v>3.0643454300587246E-5</v>
      </c>
    </row>
    <row r="85" spans="1:21" x14ac:dyDescent="0.2">
      <c r="A85" s="14" t="s">
        <v>62</v>
      </c>
      <c r="C85" s="16">
        <v>53087.714099999997</v>
      </c>
      <c r="D85" s="16">
        <v>1E-4</v>
      </c>
      <c r="E85">
        <f>+(C85-C$7)/C$8</f>
        <v>20114.943949294709</v>
      </c>
      <c r="F85">
        <f>ROUND(2*E85,0)/2</f>
        <v>20115</v>
      </c>
      <c r="G85">
        <f>+C85-(C$7+F85*C$8)</f>
        <v>-6.1090000002877787E-2</v>
      </c>
      <c r="K85">
        <f>G85</f>
        <v>-6.1090000002877787E-2</v>
      </c>
      <c r="P85">
        <f>+D$11+D$12*F85+E$15*F85^2</f>
        <v>-6.219474194449337E-2</v>
      </c>
      <c r="Q85" s="2">
        <f>+C85-15018.5</f>
        <v>38069.214099999997</v>
      </c>
      <c r="R85">
        <f>+(P85-G85)^2</f>
        <v>1.2204547575645692E-6</v>
      </c>
    </row>
    <row r="86" spans="1:21" x14ac:dyDescent="0.2">
      <c r="A86" s="13" t="s">
        <v>61</v>
      </c>
      <c r="B86" s="38"/>
      <c r="C86" s="83">
        <v>53095.343200000003</v>
      </c>
      <c r="D86" s="83">
        <v>6.8999999999999999E-3</v>
      </c>
      <c r="E86">
        <f>+(C86-C$7)/C$8</f>
        <v>20121.943727257218</v>
      </c>
      <c r="F86">
        <f>ROUND(2*E86,0)/2</f>
        <v>20122</v>
      </c>
      <c r="G86">
        <f>+C86-(C$7+F86*C$8)</f>
        <v>-6.1331999997491948E-2</v>
      </c>
      <c r="J86">
        <f>G86</f>
        <v>-6.1331999997491948E-2</v>
      </c>
      <c r="P86">
        <f>+D$11+D$12*F86+E$15*F86^2</f>
        <v>-6.2222164039407279E-2</v>
      </c>
      <c r="Q86" s="2">
        <f>+C86-15018.5</f>
        <v>38076.843200000003</v>
      </c>
      <c r="R86">
        <f>+(P86-G86)^2</f>
        <v>7.9239202151903944E-7</v>
      </c>
    </row>
    <row r="87" spans="1:21" x14ac:dyDescent="0.2">
      <c r="A87" s="84" t="s">
        <v>77</v>
      </c>
      <c r="B87" s="85" t="s">
        <v>57</v>
      </c>
      <c r="C87" s="84">
        <v>53095.345260000002</v>
      </c>
      <c r="D87" s="84">
        <v>2.5999999999999999E-3</v>
      </c>
      <c r="E87">
        <f>+(C87-C$7)/C$8</f>
        <v>20121.945617328467</v>
      </c>
      <c r="F87">
        <f>ROUND(2*E87,0)/2</f>
        <v>20122</v>
      </c>
      <c r="G87">
        <f>+C87-(C$7+F87*C$8)</f>
        <v>-5.9271999998600222E-2</v>
      </c>
      <c r="K87">
        <f>G87</f>
        <v>-5.9271999998600222E-2</v>
      </c>
      <c r="P87">
        <f>+D$11+D$12*F87+E$15*F87^2</f>
        <v>-6.2222164039407279E-2</v>
      </c>
      <c r="Q87" s="2">
        <f>+C87-15018.5</f>
        <v>38076.845260000002</v>
      </c>
      <c r="R87">
        <f>+(P87-G87)^2</f>
        <v>8.7034678676710239E-6</v>
      </c>
    </row>
    <row r="88" spans="1:21" x14ac:dyDescent="0.2">
      <c r="A88" s="11" t="s">
        <v>60</v>
      </c>
      <c r="B88" s="86" t="s">
        <v>57</v>
      </c>
      <c r="C88" s="87">
        <v>53111.6921</v>
      </c>
      <c r="D88" s="11">
        <v>2.0000000000000001E-4</v>
      </c>
      <c r="E88">
        <f>+(C88-C$7)/C$8</f>
        <v>20136.944011685413</v>
      </c>
      <c r="F88">
        <f>ROUND(2*E88,0)/2</f>
        <v>20137</v>
      </c>
      <c r="G88">
        <f>+C88-(C$7+F88*C$8)</f>
        <v>-6.1021999994409271E-2</v>
      </c>
      <c r="K88">
        <f>G88</f>
        <v>-6.1021999994409271E-2</v>
      </c>
      <c r="P88">
        <f>+D$11+D$12*F88+E$15*F88^2</f>
        <v>-6.2280304817054599E-2</v>
      </c>
      <c r="Q88" s="2">
        <f>+C88-15018.5</f>
        <v>38093.1921</v>
      </c>
      <c r="R88">
        <f>+(P88-G88)^2</f>
        <v>1.5833310266924918E-6</v>
      </c>
    </row>
    <row r="89" spans="1:21" x14ac:dyDescent="0.2">
      <c r="A89" s="105" t="s">
        <v>443</v>
      </c>
      <c r="B89" s="106" t="s">
        <v>74</v>
      </c>
      <c r="C89" s="107">
        <v>53325.317900000002</v>
      </c>
      <c r="D89" s="16"/>
      <c r="E89" s="89">
        <f>+(C89-C$7)/C$8</f>
        <v>20332.947887248993</v>
      </c>
      <c r="F89">
        <f>ROUND(2*E89,0)/2</f>
        <v>20333</v>
      </c>
      <c r="G89">
        <f>+C89-(C$7+F89*C$8)</f>
        <v>-5.6797999997797888E-2</v>
      </c>
      <c r="K89">
        <f>G89</f>
        <v>-5.6797999997797888E-2</v>
      </c>
      <c r="P89">
        <f>+D$11+D$12*F89+E$15*F89^2</f>
        <v>-6.2962204763526985E-2</v>
      </c>
      <c r="Q89" s="2">
        <f>+C89-15018.5</f>
        <v>38306.817900000002</v>
      </c>
      <c r="R89">
        <f>+(P89-G89)^2</f>
        <v>3.7997420393837318E-5</v>
      </c>
    </row>
    <row r="90" spans="1:21" x14ac:dyDescent="0.2">
      <c r="A90" s="105" t="s">
        <v>448</v>
      </c>
      <c r="B90" s="106" t="s">
        <v>74</v>
      </c>
      <c r="C90" s="107">
        <v>53373.274899999997</v>
      </c>
      <c r="D90" s="16"/>
      <c r="E90" s="89">
        <f>+(C90-C$7)/C$8</f>
        <v>20376.948929540711</v>
      </c>
      <c r="F90">
        <f>ROUND(2*E90,0)/2</f>
        <v>20377</v>
      </c>
      <c r="G90">
        <f>+C90-(C$7+F90*C$8)</f>
        <v>-5.566200000612298E-2</v>
      </c>
      <c r="K90">
        <f>G90</f>
        <v>-5.566200000612298E-2</v>
      </c>
      <c r="P90">
        <f>+D$11+D$12*F90+E$15*F90^2</f>
        <v>-6.3095417005400112E-2</v>
      </c>
      <c r="Q90" s="2">
        <f>+C90-15018.5</f>
        <v>38354.774899999997</v>
      </c>
      <c r="R90">
        <f>+(P90-G90)^2</f>
        <v>5.5255688285142231E-5</v>
      </c>
    </row>
    <row r="91" spans="1:21" x14ac:dyDescent="0.2">
      <c r="A91" s="37" t="s">
        <v>65</v>
      </c>
      <c r="B91" s="38"/>
      <c r="C91" s="29">
        <v>53387.437100000003</v>
      </c>
      <c r="D91" s="29">
        <v>5.0000000000000001E-4</v>
      </c>
      <c r="E91">
        <f>+(C91-C$7)/C$8</f>
        <v>20389.942894157848</v>
      </c>
      <c r="F91">
        <f>ROUND(2*E91,0)/2</f>
        <v>20390</v>
      </c>
      <c r="G91">
        <f>+C91-(C$7+F91*C$8)</f>
        <v>-6.2239999992016237E-2</v>
      </c>
      <c r="J91">
        <f>G91</f>
        <v>-6.2239999992016237E-2</v>
      </c>
      <c r="O91">
        <f ca="1">+C$11+C$12*F91</f>
        <v>-7.7678586307366765E-2</v>
      </c>
      <c r="P91">
        <f>+D$11+D$12*F91+E$15*F91^2</f>
        <v>-6.3133381067637329E-2</v>
      </c>
      <c r="Q91" s="2">
        <f>+C91-15018.5</f>
        <v>38368.937100000003</v>
      </c>
      <c r="R91">
        <f>+(P91-G91)^2</f>
        <v>7.9812974627789821E-7</v>
      </c>
    </row>
    <row r="92" spans="1:21" x14ac:dyDescent="0.2">
      <c r="A92" s="37" t="s">
        <v>73</v>
      </c>
      <c r="B92" s="35" t="s">
        <v>74</v>
      </c>
      <c r="C92" s="29">
        <v>53390.758500000004</v>
      </c>
      <c r="D92" s="29">
        <v>8.0000000000000004E-4</v>
      </c>
      <c r="E92">
        <f>+(C92-C$7)/C$8</f>
        <v>20392.990312926071</v>
      </c>
      <c r="F92">
        <f>ROUND(2*E92,0)/2</f>
        <v>20393</v>
      </c>
      <c r="J92" s="32"/>
      <c r="K92">
        <f>G92</f>
        <v>0</v>
      </c>
      <c r="O92">
        <f ca="1">+C$11+C$12*F92</f>
        <v>-7.7659268309405532E-2</v>
      </c>
      <c r="P92">
        <f>+D$11+D$12*F92+E$15*F92^2</f>
        <v>-6.3142051698995227E-2</v>
      </c>
      <c r="Q92" s="2">
        <f>+C92-15018.5</f>
        <v>38372.258500000004</v>
      </c>
    </row>
    <row r="93" spans="1:21" x14ac:dyDescent="0.2">
      <c r="A93" s="11" t="s">
        <v>158</v>
      </c>
      <c r="B93" s="88" t="s">
        <v>57</v>
      </c>
      <c r="C93" s="11">
        <v>53448.463000000003</v>
      </c>
      <c r="D93" s="11">
        <v>3.0000000000000001E-3</v>
      </c>
      <c r="E93">
        <f>+(C93-C$7)/C$8</f>
        <v>20445.934787036684</v>
      </c>
      <c r="F93">
        <f>ROUND(2*E93,0)/2</f>
        <v>20446</v>
      </c>
      <c r="G93">
        <f>+C93-(C$7+F93*C$8)</f>
        <v>-7.1075999992899597E-2</v>
      </c>
      <c r="K93">
        <f>G93</f>
        <v>-7.1075999992899597E-2</v>
      </c>
      <c r="O93">
        <f ca="1">+C$11+C$12*F93</f>
        <v>-7.7317983678757224E-2</v>
      </c>
      <c r="P93">
        <f>+D$11+D$12*F93+E$15*F93^2</f>
        <v>-6.3289648926938558E-2</v>
      </c>
      <c r="Q93" s="2">
        <f>+C93-15018.5</f>
        <v>38429.963000000003</v>
      </c>
      <c r="R93">
        <f>+(P93-G93)^2</f>
        <v>6.0627262922392612E-5</v>
      </c>
    </row>
    <row r="94" spans="1:21" x14ac:dyDescent="0.2">
      <c r="A94" s="13" t="s">
        <v>63</v>
      </c>
      <c r="B94" s="36"/>
      <c r="C94" s="29">
        <v>53483.349099999999</v>
      </c>
      <c r="D94" s="29">
        <v>1.0200000000000001E-2</v>
      </c>
      <c r="E94">
        <f>+(C94-C$7)/C$8</f>
        <v>20477.943143720651</v>
      </c>
      <c r="F94">
        <f>ROUND(2*E94,0)/2</f>
        <v>20478</v>
      </c>
      <c r="G94">
        <f>+C94-(C$7+F94*C$8)</f>
        <v>-6.1968000001797918E-2</v>
      </c>
      <c r="J94">
        <f>G94</f>
        <v>-6.1968000001797918E-2</v>
      </c>
      <c r="O94">
        <f ca="1">+C$11+C$12*F94</f>
        <v>-7.7111925033837486E-2</v>
      </c>
      <c r="P94">
        <f>+D$11+D$12*F94+E$15*F94^2</f>
        <v>-6.3373646889753221E-2</v>
      </c>
      <c r="Q94" s="2">
        <f>+C94-15018.5</f>
        <v>38464.849099999999</v>
      </c>
      <c r="R94">
        <f>+(P94-G94)^2</f>
        <v>1.9758431736184281E-6</v>
      </c>
    </row>
    <row r="95" spans="1:21" x14ac:dyDescent="0.2">
      <c r="A95" s="105" t="s">
        <v>448</v>
      </c>
      <c r="B95" s="106" t="s">
        <v>74</v>
      </c>
      <c r="C95" s="107">
        <v>53701.327499999999</v>
      </c>
      <c r="D95" s="16"/>
      <c r="E95" s="89">
        <f>+(C95-C$7)/C$8</f>
        <v>20677.940574691762</v>
      </c>
      <c r="F95">
        <f>ROUND(2*E95,0)/2</f>
        <v>20678</v>
      </c>
      <c r="G95">
        <f>+C95-(C$7+F95*C$8)</f>
        <v>-6.4767999996547587E-2</v>
      </c>
      <c r="K95">
        <f>G95</f>
        <v>-6.4767999996547587E-2</v>
      </c>
      <c r="O95">
        <f ca="1">+C$11+C$12*F95</f>
        <v>-7.5824058503089098E-2</v>
      </c>
      <c r="P95">
        <f>+D$11+D$12*F95+E$15*F95^2</f>
        <v>-6.3811338278486951E-2</v>
      </c>
      <c r="Q95" s="2">
        <f>+C95-15018.5</f>
        <v>38682.827499999999</v>
      </c>
      <c r="R95">
        <f>+(P95-G95)^2</f>
        <v>9.1520164280272832E-7</v>
      </c>
    </row>
    <row r="96" spans="1:21" x14ac:dyDescent="0.2">
      <c r="A96" s="37" t="s">
        <v>65</v>
      </c>
      <c r="B96" s="38"/>
      <c r="C96" s="29">
        <v>53752.543299999998</v>
      </c>
      <c r="D96" s="29">
        <v>4.4999999999999997E-3</v>
      </c>
      <c r="E96">
        <f>+(C96-C$7)/C$8</f>
        <v>20724.931599605836</v>
      </c>
      <c r="F96">
        <f>ROUND(2*E96,0)/2</f>
        <v>20725</v>
      </c>
      <c r="O96">
        <f ca="1">+C$11+C$12*F96</f>
        <v>-7.5521409868363226E-2</v>
      </c>
      <c r="P96">
        <f>+D$11+D$12*F96+E$15*F96^2</f>
        <v>-6.3892354852734257E-2</v>
      </c>
      <c r="Q96" s="2">
        <f>+C96-15018.5</f>
        <v>38734.043299999998</v>
      </c>
    </row>
    <row r="97" spans="1:18" x14ac:dyDescent="0.2">
      <c r="A97" s="84" t="s">
        <v>77</v>
      </c>
      <c r="B97" s="85" t="s">
        <v>57</v>
      </c>
      <c r="C97" s="84">
        <v>53859.365839999999</v>
      </c>
      <c r="D97" s="84">
        <v>2.2000000000000001E-3</v>
      </c>
      <c r="E97">
        <f>+(C97-C$7)/C$8</f>
        <v>20822.942382187088</v>
      </c>
      <c r="F97">
        <f>ROUND(2*E97,0)/2</f>
        <v>20823</v>
      </c>
      <c r="G97">
        <f>+C97-(C$7+F97*C$8)</f>
        <v>-6.2797999999020249E-2</v>
      </c>
      <c r="K97">
        <f>G97</f>
        <v>-6.2797999999020249E-2</v>
      </c>
      <c r="O97">
        <f ca="1">+C$11+C$12*F97</f>
        <v>-7.4890355268296516E-2</v>
      </c>
      <c r="P97">
        <f>+D$11+D$12*F97+E$15*F97^2</f>
        <v>-6.4034548665924063E-2</v>
      </c>
      <c r="Q97" s="2">
        <f>+C97-15018.5</f>
        <v>38840.865839999999</v>
      </c>
      <c r="R97">
        <f>+(P97-G97)^2</f>
        <v>1.5290526056215994E-6</v>
      </c>
    </row>
    <row r="98" spans="1:18" x14ac:dyDescent="0.2">
      <c r="A98" s="87" t="s">
        <v>76</v>
      </c>
      <c r="B98" s="86" t="s">
        <v>57</v>
      </c>
      <c r="C98" s="87">
        <v>54067.5363</v>
      </c>
      <c r="D98" s="87">
        <v>2.9999999999999997E-4</v>
      </c>
      <c r="E98">
        <f>+(C98-C$7)/C$8</f>
        <v>21013.940927015723</v>
      </c>
      <c r="F98">
        <f>ROUND(2*E98,0)/2</f>
        <v>21014</v>
      </c>
      <c r="G98">
        <f>+C98-(C$7+F98*C$8)</f>
        <v>-6.4384000004793052E-2</v>
      </c>
      <c r="K98">
        <f>G98</f>
        <v>-6.4384000004793052E-2</v>
      </c>
      <c r="O98">
        <f ca="1">+C$11+C$12*F98</f>
        <v>-7.3660442731431797E-2</v>
      </c>
      <c r="P98">
        <f>+D$11+D$12*F98+E$15*F98^2</f>
        <v>-6.4207831393478521E-2</v>
      </c>
      <c r="Q98" s="2">
        <f>+C98-15018.5</f>
        <v>39049.0363</v>
      </c>
      <c r="R98">
        <f>+(P98-G98)^2</f>
        <v>3.1035379612490336E-8</v>
      </c>
    </row>
    <row r="99" spans="1:18" x14ac:dyDescent="0.2">
      <c r="A99" s="105" t="s">
        <v>494</v>
      </c>
      <c r="B99" s="106" t="s">
        <v>74</v>
      </c>
      <c r="C99" s="107">
        <v>54116.577400000002</v>
      </c>
      <c r="D99" s="16"/>
      <c r="E99" s="89">
        <f>+(C99-C$7)/C$8</f>
        <v>21058.936642242545</v>
      </c>
      <c r="F99">
        <f>ROUND(2*E99,0)/2</f>
        <v>21059</v>
      </c>
      <c r="G99">
        <f>+C99-(C$7+F99*C$8)</f>
        <v>-6.9053999999596272E-2</v>
      </c>
      <c r="K99">
        <f>G99</f>
        <v>-6.9053999999596272E-2</v>
      </c>
      <c r="O99">
        <f ca="1">+C$11+C$12*F99</f>
        <v>-7.3370672762013395E-2</v>
      </c>
      <c r="P99">
        <f>+D$11+D$12*F99+E$15*F99^2</f>
        <v>-6.4228676946436969E-2</v>
      </c>
      <c r="Q99" s="2">
        <f>+C99-15018.5</f>
        <v>39098.077400000002</v>
      </c>
      <c r="R99">
        <f>+(P99-G99)^2</f>
        <v>2.3283742567350617E-5</v>
      </c>
    </row>
    <row r="100" spans="1:18" x14ac:dyDescent="0.2">
      <c r="A100" s="37" t="s">
        <v>78</v>
      </c>
      <c r="B100" s="35" t="s">
        <v>57</v>
      </c>
      <c r="C100" s="29">
        <v>54116.577449999997</v>
      </c>
      <c r="D100" s="29">
        <v>2.9999999999999997E-4</v>
      </c>
      <c r="E100">
        <f>+(C100-C$7)/C$8</f>
        <v>21058.936688118054</v>
      </c>
      <c r="F100">
        <f>ROUND(2*E100,0)/2</f>
        <v>21059</v>
      </c>
      <c r="G100">
        <f>+C100-(C$7+F100*C$8)</f>
        <v>-6.9004000004497357E-2</v>
      </c>
      <c r="K100">
        <f>G100</f>
        <v>-6.9004000004497357E-2</v>
      </c>
      <c r="O100">
        <f ca="1">+C$11+C$12*F100</f>
        <v>-7.3370672762013395E-2</v>
      </c>
      <c r="P100">
        <f>+D$11+D$12*F100+E$15*F100^2</f>
        <v>-6.4228676946436969E-2</v>
      </c>
      <c r="Q100" s="2">
        <f>+C100-15018.5</f>
        <v>39098.077449999997</v>
      </c>
      <c r="R100">
        <f>+(P100-G100)^2</f>
        <v>2.2803710308843212E-5</v>
      </c>
    </row>
    <row r="101" spans="1:18" x14ac:dyDescent="0.2">
      <c r="A101" s="105" t="s">
        <v>409</v>
      </c>
      <c r="B101" s="106" t="s">
        <v>74</v>
      </c>
      <c r="C101" s="107">
        <v>54141.645199999999</v>
      </c>
      <c r="D101" s="16"/>
      <c r="E101" s="89">
        <f>+(C101-C$7)/C$8</f>
        <v>21081.936607377149</v>
      </c>
      <c r="F101">
        <f>ROUND(2*E101,0)/2</f>
        <v>21082</v>
      </c>
      <c r="G101">
        <f>+C101-(C$7+F101*C$8)</f>
        <v>-6.9092000005184673E-2</v>
      </c>
      <c r="K101">
        <f>G101</f>
        <v>-6.9092000005184673E-2</v>
      </c>
      <c r="O101">
        <f ca="1">+C$11+C$12*F101</f>
        <v>-7.3222568110977354E-2</v>
      </c>
      <c r="P101">
        <f>+D$11+D$12*F101+E$15*F101^2</f>
        <v>-6.4236388867013217E-2</v>
      </c>
      <c r="Q101" s="2">
        <f>+C101-15018.5</f>
        <v>39123.145199999999</v>
      </c>
      <c r="R101">
        <f>+(P101-G101)^2</f>
        <v>2.3576959525134704E-5</v>
      </c>
    </row>
    <row r="102" spans="1:18" x14ac:dyDescent="0.2">
      <c r="A102" s="105" t="s">
        <v>503</v>
      </c>
      <c r="B102" s="106" t="s">
        <v>74</v>
      </c>
      <c r="C102" s="107">
        <v>54174.342700000001</v>
      </c>
      <c r="D102" s="16"/>
      <c r="E102" s="89">
        <f>+(C102-C$7)/C$8</f>
        <v>21111.936900980454</v>
      </c>
      <c r="F102">
        <f>ROUND(2*E102,0)/2</f>
        <v>21112</v>
      </c>
      <c r="G102">
        <f>+C102-(C$7+F102*C$8)</f>
        <v>-6.8771999998716637E-2</v>
      </c>
      <c r="K102">
        <f>G102</f>
        <v>-6.8771999998716637E-2</v>
      </c>
      <c r="O102">
        <f ca="1">+C$11+C$12*F102</f>
        <v>-7.3029388131365086E-2</v>
      </c>
      <c r="P102">
        <f>+D$11+D$12*F102+E$15*F102^2</f>
        <v>-6.4243456504899488E-2</v>
      </c>
      <c r="Q102" s="2">
        <f>+C102-15018.5</f>
        <v>39155.842700000001</v>
      </c>
      <c r="R102">
        <f>+(P102-G102)^2</f>
        <v>2.0507706175393638E-5</v>
      </c>
    </row>
    <row r="103" spans="1:18" x14ac:dyDescent="0.2">
      <c r="A103" s="105" t="s">
        <v>409</v>
      </c>
      <c r="B103" s="106" t="s">
        <v>74</v>
      </c>
      <c r="C103" s="107">
        <v>54179.793700000002</v>
      </c>
      <c r="D103" s="16"/>
      <c r="E103" s="89">
        <f>+(C103-C$7)/C$8</f>
        <v>21116.938249720621</v>
      </c>
      <c r="F103">
        <f>ROUND(2*E103,0)/2</f>
        <v>21117</v>
      </c>
      <c r="G103">
        <f>+C103-(C$7+F103*C$8)</f>
        <v>-6.7302000003110152E-2</v>
      </c>
      <c r="K103">
        <f>G103</f>
        <v>-6.7302000003110152E-2</v>
      </c>
      <c r="O103">
        <f ca="1">+C$11+C$12*F103</f>
        <v>-7.2997191468096384E-2</v>
      </c>
      <c r="P103">
        <f>+D$11+D$12*F103+E$15*F103^2</f>
        <v>-6.4244305203624785E-2</v>
      </c>
      <c r="Q103" s="2">
        <f>+C103-15018.5</f>
        <v>39161.293700000002</v>
      </c>
      <c r="R103">
        <f>+(P103-G103)^2</f>
        <v>9.3494974867998562E-6</v>
      </c>
    </row>
    <row r="104" spans="1:18" x14ac:dyDescent="0.2">
      <c r="A104" s="29" t="s">
        <v>71</v>
      </c>
      <c r="B104" s="36"/>
      <c r="C104" s="29">
        <v>54199.415200000003</v>
      </c>
      <c r="D104" s="29">
        <v>1.1999999999999999E-3</v>
      </c>
      <c r="E104">
        <f>+(C104-C$7)/C$8</f>
        <v>21134.941178413555</v>
      </c>
      <c r="F104">
        <f>ROUND(2*E104,0)/2</f>
        <v>21135</v>
      </c>
      <c r="G104">
        <f>+C104-(C$7+F104*C$8)</f>
        <v>-6.4109999992069788E-2</v>
      </c>
      <c r="J104">
        <f>G104</f>
        <v>-6.4109999992069788E-2</v>
      </c>
      <c r="O104">
        <f ca="1">+C$11+C$12*F104</f>
        <v>-7.2881283480329018E-2</v>
      </c>
      <c r="P104">
        <f>+D$11+D$12*F104+E$15*F104^2</f>
        <v>-6.4246581629082145E-2</v>
      </c>
      <c r="Q104" s="2">
        <f>+C104-15018.5</f>
        <v>39180.915200000003</v>
      </c>
      <c r="R104">
        <f>+(P104-G104)^2</f>
        <v>1.8654543568975047E-8</v>
      </c>
    </row>
    <row r="105" spans="1:18" x14ac:dyDescent="0.2">
      <c r="A105" s="29" t="s">
        <v>71</v>
      </c>
      <c r="B105" s="36"/>
      <c r="C105" s="29">
        <v>54211.399899999997</v>
      </c>
      <c r="D105" s="29">
        <v>1E-3</v>
      </c>
      <c r="E105" s="89">
        <f>+(C105-C$7)/C$8</f>
        <v>21145.937264314536</v>
      </c>
      <c r="F105">
        <f>ROUND(2*E105,0)/2</f>
        <v>21146</v>
      </c>
      <c r="G105">
        <f>+C105-(C$7+F105*C$8)</f>
        <v>-6.8376000002899673E-2</v>
      </c>
      <c r="J105">
        <f>G105</f>
        <v>-6.8376000002899673E-2</v>
      </c>
      <c r="O105">
        <f ca="1">+C$11+C$12*F105</f>
        <v>-7.2810450821137851E-2</v>
      </c>
      <c r="P105">
        <f>+D$11+D$12*F105+E$15*F105^2</f>
        <v>-6.4247372618805754E-2</v>
      </c>
      <c r="Q105" s="2">
        <f>+C105-15018.5</f>
        <v>39192.899899999997</v>
      </c>
      <c r="R105">
        <f>+(P105-G105)^2</f>
        <v>1.7045564076690197E-5</v>
      </c>
    </row>
    <row r="106" spans="1:18" x14ac:dyDescent="0.2">
      <c r="A106" s="37" t="s">
        <v>75</v>
      </c>
      <c r="B106" s="35" t="s">
        <v>57</v>
      </c>
      <c r="C106" s="29">
        <v>54528.565600000002</v>
      </c>
      <c r="D106" s="29">
        <v>2.0000000000000001E-4</v>
      </c>
      <c r="E106" s="89">
        <f>+(C106-C$7)/C$8</f>
        <v>21436.940066391049</v>
      </c>
      <c r="F106">
        <f>ROUND(2*E106,0)/2</f>
        <v>21437</v>
      </c>
      <c r="G106">
        <f>+C106-(C$7+F106*C$8)</f>
        <v>-6.5321999994921498E-2</v>
      </c>
      <c r="K106">
        <f>G106</f>
        <v>-6.5321999994921498E-2</v>
      </c>
      <c r="O106">
        <f ca="1">+C$11+C$12*F106</f>
        <v>-7.0936605018898952E-2</v>
      </c>
      <c r="P106">
        <f>+D$11+D$12*F106+E$15*F106^2</f>
        <v>-6.4102958745291705E-2</v>
      </c>
      <c r="Q106" s="2">
        <f>+C106-15018.5</f>
        <v>39510.065600000002</v>
      </c>
      <c r="R106">
        <f>+(P106-G106)^2</f>
        <v>1.4860615682989675E-6</v>
      </c>
    </row>
    <row r="107" spans="1:18" x14ac:dyDescent="0.2">
      <c r="A107" s="37" t="s">
        <v>160</v>
      </c>
      <c r="B107" s="35" t="s">
        <v>57</v>
      </c>
      <c r="C107" s="29">
        <v>54529.654300000002</v>
      </c>
      <c r="D107" s="29">
        <v>2.0000000000000001E-4</v>
      </c>
      <c r="E107" s="89">
        <f>+(C107-C$7)/C$8</f>
        <v>21437.938959873605</v>
      </c>
      <c r="F107">
        <f>ROUND(2*E107,0)/2</f>
        <v>21438</v>
      </c>
      <c r="G107">
        <f>+C107-(C$7+F107*C$8)</f>
        <v>-6.6528000003017951E-2</v>
      </c>
      <c r="K107">
        <f>G107</f>
        <v>-6.6528000003017951E-2</v>
      </c>
      <c r="O107">
        <f ca="1">+C$11+C$12*F107</f>
        <v>-7.0930165686245217E-2</v>
      </c>
      <c r="P107">
        <f>+D$11+D$12*F107+E$15*F107^2</f>
        <v>-6.4101913115688691E-2</v>
      </c>
      <c r="Q107" s="2">
        <f>+C107-15018.5</f>
        <v>39511.154300000002</v>
      </c>
      <c r="R107">
        <f>+(P107-G107)^2</f>
        <v>5.8858975848709756E-6</v>
      </c>
    </row>
    <row r="108" spans="1:18" x14ac:dyDescent="0.2">
      <c r="A108" s="37" t="s">
        <v>160</v>
      </c>
      <c r="B108" s="35" t="s">
        <v>57</v>
      </c>
      <c r="C108" s="29">
        <v>54590.686199999996</v>
      </c>
      <c r="D108" s="29">
        <v>2.9999999999999997E-4</v>
      </c>
      <c r="E108" s="89">
        <f>+(C108-C$7)/C$8</f>
        <v>21493.936357814342</v>
      </c>
      <c r="F108">
        <f>ROUND(2*E108,0)/2</f>
        <v>21494</v>
      </c>
      <c r="G108">
        <f>+C108-(C$7+F108*C$8)</f>
        <v>-6.9364000002678949E-2</v>
      </c>
      <c r="K108">
        <f>G108</f>
        <v>-6.9364000002678949E-2</v>
      </c>
      <c r="O108">
        <f ca="1">+C$11+C$12*F108</f>
        <v>-7.0569563057635676E-2</v>
      </c>
      <c r="P108">
        <f>+D$11+D$12*F108+E$15*F108^2</f>
        <v>-6.4037352503504508E-2</v>
      </c>
      <c r="Q108" s="2">
        <f>+C108-15018.5</f>
        <v>39572.186199999996</v>
      </c>
      <c r="R108">
        <f>+(P108-G108)^2</f>
        <v>2.8373173580461332E-5</v>
      </c>
    </row>
    <row r="109" spans="1:18" x14ac:dyDescent="0.2">
      <c r="A109" s="87" t="s">
        <v>76</v>
      </c>
      <c r="B109" s="86" t="s">
        <v>57</v>
      </c>
      <c r="C109" s="87">
        <v>54962.345099999999</v>
      </c>
      <c r="D109" s="87">
        <v>2.9999999999999997E-4</v>
      </c>
      <c r="E109" s="89">
        <f>+(C109-C$7)/C$8</f>
        <v>21834.937233119184</v>
      </c>
      <c r="F109">
        <f>ROUND(2*E109,0)/2</f>
        <v>21835</v>
      </c>
      <c r="G109">
        <f>+C109-(C$7+F109*C$8)</f>
        <v>-6.8409999999857973E-2</v>
      </c>
      <c r="K109">
        <f>G109</f>
        <v>-6.8409999999857973E-2</v>
      </c>
      <c r="O109">
        <f ca="1">+C$11+C$12*F109</f>
        <v>-6.8373750622709673E-2</v>
      </c>
      <c r="P109">
        <f>+D$11+D$12*F109+E$15*F109^2</f>
        <v>-6.3389529356571828E-2</v>
      </c>
      <c r="Q109" s="2">
        <f>+C109-15018.5</f>
        <v>39943.845099999999</v>
      </c>
      <c r="R109">
        <f>+(P109-G109)^2</f>
        <v>2.5205125480098006E-5</v>
      </c>
    </row>
    <row r="110" spans="1:18" x14ac:dyDescent="0.2">
      <c r="A110" s="120" t="s">
        <v>628</v>
      </c>
      <c r="B110" s="121" t="s">
        <v>57</v>
      </c>
      <c r="C110" s="122">
        <v>55265.342400000001</v>
      </c>
      <c r="D110" s="122">
        <v>2.0000000000000001E-4</v>
      </c>
      <c r="E110" s="89">
        <f>+(C110-C$7)/C$8</f>
        <v>22112.940382014596</v>
      </c>
      <c r="F110">
        <f>ROUND(2*E110,0)/2</f>
        <v>22113</v>
      </c>
      <c r="G110">
        <f>+C110-(C$7+F110*C$8)</f>
        <v>-6.4978000002156477E-2</v>
      </c>
      <c r="K110">
        <f>G110</f>
        <v>-6.4978000002156477E-2</v>
      </c>
      <c r="O110">
        <f ca="1">+C$11+C$12*F110</f>
        <v>-6.658361614496941E-2</v>
      </c>
      <c r="P110">
        <f>+D$11+D$12*F110+E$15*F110^2</f>
        <v>-6.2537640945768413E-2</v>
      </c>
      <c r="Q110" s="2">
        <f>+C110-15018.5</f>
        <v>40246.842400000001</v>
      </c>
      <c r="R110">
        <f>+(P110-G110)^2</f>
        <v>5.9553523240952421E-6</v>
      </c>
    </row>
    <row r="111" spans="1:18" x14ac:dyDescent="0.2">
      <c r="A111" s="37" t="s">
        <v>159</v>
      </c>
      <c r="B111" s="35" t="s">
        <v>57</v>
      </c>
      <c r="C111" s="29">
        <v>55305.669300000001</v>
      </c>
      <c r="D111" s="29">
        <v>1E-4</v>
      </c>
      <c r="E111" s="89">
        <f>+(C111-C$7)/C$8</f>
        <v>22149.940728833499</v>
      </c>
      <c r="F111">
        <f>ROUND(2*E111,0)/2</f>
        <v>22150</v>
      </c>
      <c r="G111">
        <f>+C111-(C$7+F111*C$8)</f>
        <v>-6.4599999997881241E-2</v>
      </c>
      <c r="K111">
        <f>G111</f>
        <v>-6.4599999997881241E-2</v>
      </c>
      <c r="O111">
        <f ca="1">+C$11+C$12*F111</f>
        <v>-6.6345360836780942E-2</v>
      </c>
      <c r="P111">
        <f>+D$11+D$12*F111+E$15*F111^2</f>
        <v>-6.2402332668681337E-2</v>
      </c>
      <c r="Q111" s="2">
        <f>+C111-15018.5</f>
        <v>40287.169300000001</v>
      </c>
      <c r="R111">
        <f>+(P111-G111)^2</f>
        <v>4.8297416898326381E-6</v>
      </c>
    </row>
    <row r="112" spans="1:18" x14ac:dyDescent="0.2">
      <c r="A112" s="29" t="s">
        <v>161</v>
      </c>
      <c r="B112" s="35" t="s">
        <v>74</v>
      </c>
      <c r="C112" s="29">
        <v>55560.709300000002</v>
      </c>
      <c r="D112" s="29">
        <v>5.0000000000000001E-4</v>
      </c>
      <c r="E112" s="89">
        <f>+(C112-C$7)/C$8</f>
        <v>22383.942560184092</v>
      </c>
      <c r="F112">
        <f>ROUND(2*E112,0)/2</f>
        <v>22384</v>
      </c>
      <c r="G112">
        <f>+C112-(C$7+F112*C$8)</f>
        <v>-6.2603999998827931E-2</v>
      </c>
      <c r="K112">
        <f>G112</f>
        <v>-6.2603999998827931E-2</v>
      </c>
      <c r="O112">
        <f ca="1">+C$11+C$12*F112</f>
        <v>-6.4838556995805346E-2</v>
      </c>
      <c r="P112">
        <f>+D$11+D$12*F112+E$15*F112^2</f>
        <v>-6.1427293618593559E-2</v>
      </c>
      <c r="Q112" s="2">
        <f>+C112-15018.5</f>
        <v>40542.209300000002</v>
      </c>
      <c r="R112">
        <f>+(P112-G112)^2</f>
        <v>1.384637905284277E-6</v>
      </c>
    </row>
    <row r="113" spans="1:21" x14ac:dyDescent="0.2">
      <c r="A113" s="29" t="s">
        <v>161</v>
      </c>
      <c r="B113" s="35" t="s">
        <v>74</v>
      </c>
      <c r="C113" s="29">
        <v>55561.794800000003</v>
      </c>
      <c r="D113" s="29">
        <v>2.9999999999999997E-4</v>
      </c>
      <c r="E113" s="89">
        <f>+(C113-C$7)/C$8</f>
        <v>22384.938517633633</v>
      </c>
      <c r="F113">
        <f>ROUND(2*E113,0)/2</f>
        <v>22385</v>
      </c>
      <c r="G113">
        <f>+C113-(C$7+F113*C$8)</f>
        <v>-6.700999999884516E-2</v>
      </c>
      <c r="K113">
        <f>G113</f>
        <v>-6.700999999884516E-2</v>
      </c>
      <c r="O113">
        <f ca="1">+C$11+C$12*F113</f>
        <v>-6.4832117663151584E-2</v>
      </c>
      <c r="P113">
        <f>+D$11+D$12*F113+E$15*F113^2</f>
        <v>-6.1422684661521787E-2</v>
      </c>
      <c r="Q113" s="2">
        <f>+C113-15018.5</f>
        <v>40543.294800000003</v>
      </c>
      <c r="R113">
        <f>+(P113-G113)^2</f>
        <v>3.1218092678689001E-5</v>
      </c>
    </row>
    <row r="114" spans="1:21" x14ac:dyDescent="0.2">
      <c r="A114" s="11" t="s">
        <v>156</v>
      </c>
      <c r="B114" s="88" t="s">
        <v>57</v>
      </c>
      <c r="C114" s="11">
        <v>55574.877500000002</v>
      </c>
      <c r="D114" s="11">
        <v>2.0000000000000001E-4</v>
      </c>
      <c r="E114" s="89">
        <f>+(C114-C$7)/C$8</f>
        <v>22396.942029863127</v>
      </c>
      <c r="F114">
        <f>ROUND(2*E114,0)/2</f>
        <v>22397</v>
      </c>
      <c r="G114">
        <f>+C114-(C$7+F114*C$8)</f>
        <v>-6.3181999998050742E-2</v>
      </c>
      <c r="K114">
        <f>G114</f>
        <v>-6.3181999998050742E-2</v>
      </c>
      <c r="O114">
        <f ca="1">+C$11+C$12*F114</f>
        <v>-6.4754845671306682E-2</v>
      </c>
      <c r="P114">
        <f>+D$11+D$12*F114+E$15*F114^2</f>
        <v>-6.1367083681895473E-2</v>
      </c>
      <c r="Q114" s="2">
        <f>+C114-15018.5</f>
        <v>40556.377500000002</v>
      </c>
      <c r="R114">
        <f>+(P114-G114)^2</f>
        <v>3.2939212346466102E-6</v>
      </c>
    </row>
    <row r="115" spans="1:21" x14ac:dyDescent="0.2">
      <c r="A115" s="29" t="s">
        <v>161</v>
      </c>
      <c r="B115" s="35" t="s">
        <v>74</v>
      </c>
      <c r="C115" s="29">
        <v>55608.664599999996</v>
      </c>
      <c r="D115" s="29">
        <v>2.9999999999999997E-4</v>
      </c>
      <c r="E115" s="89">
        <f>+(C115-C$7)/C$8</f>
        <v>22427.942042708266</v>
      </c>
      <c r="F115">
        <f>ROUND(2*E115,0)/2</f>
        <v>22428</v>
      </c>
      <c r="G115">
        <f>+C115-(C$7+F115*C$8)</f>
        <v>-6.3168000000587199E-2</v>
      </c>
      <c r="K115">
        <f>G115</f>
        <v>-6.3168000000587199E-2</v>
      </c>
      <c r="O115">
        <f ca="1">+C$11+C$12*F115</f>
        <v>-6.4555226359040679E-2</v>
      </c>
      <c r="P115">
        <f>+D$11+D$12*F115+E$15*F115^2</f>
        <v>-6.1220939942720154E-2</v>
      </c>
      <c r="Q115" s="2">
        <f>+C115-15018.5</f>
        <v>40590.164599999996</v>
      </c>
      <c r="R115">
        <f>+(P115-G115)^2</f>
        <v>3.7910428689412203E-6</v>
      </c>
    </row>
    <row r="116" spans="1:21" x14ac:dyDescent="0.2">
      <c r="A116" s="11" t="s">
        <v>157</v>
      </c>
      <c r="B116" s="88" t="s">
        <v>74</v>
      </c>
      <c r="C116" s="11">
        <v>55623.383900000001</v>
      </c>
      <c r="D116" s="11">
        <v>8.0000000000000004E-4</v>
      </c>
      <c r="E116" s="89">
        <f>+(C116-C$7)/C$8</f>
        <v>22441.447152323228</v>
      </c>
      <c r="F116">
        <f>ROUND(2*E116,0)/2</f>
        <v>22441.5</v>
      </c>
      <c r="G116">
        <f>+C116-(C$7+F116*C$8)</f>
        <v>-5.7598999999754597E-2</v>
      </c>
      <c r="J116">
        <f>G116</f>
        <v>-5.7598999999754597E-2</v>
      </c>
      <c r="O116">
        <f ca="1">+C$11+C$12*F116</f>
        <v>-6.4468295368215189E-2</v>
      </c>
      <c r="P116">
        <f>+D$11+D$12*F116+E$15*F116^2</f>
        <v>-6.1156166464414019E-2</v>
      </c>
      <c r="Q116" s="2">
        <f>+C116-15018.5</f>
        <v>40604.883900000001</v>
      </c>
      <c r="R116">
        <f>+(P116-G116)^2</f>
        <v>1.2653433257297615E-5</v>
      </c>
    </row>
    <row r="117" spans="1:21" x14ac:dyDescent="0.2">
      <c r="A117" s="11" t="s">
        <v>157</v>
      </c>
      <c r="B117" s="88" t="s">
        <v>74</v>
      </c>
      <c r="C117" s="11">
        <v>55625.5694</v>
      </c>
      <c r="D117" s="11">
        <v>1.95E-2</v>
      </c>
      <c r="E117" s="89">
        <f>+(C117-C$7)/C$8</f>
        <v>22443.452371121915</v>
      </c>
      <c r="F117">
        <f>ROUND(2*E117,0)/2</f>
        <v>22443.5</v>
      </c>
      <c r="O117">
        <f ca="1">+C$11+C$12*F117</f>
        <v>-6.4455416702907692E-2</v>
      </c>
      <c r="P117">
        <f>+D$11+D$12*F117+E$15*F117^2</f>
        <v>-6.1146512070876291E-2</v>
      </c>
      <c r="Q117" s="2">
        <f>+C117-15018.5</f>
        <v>40607.0694</v>
      </c>
      <c r="R117">
        <f>+(P117-U117)^2</f>
        <v>8.5294683303360752E-5</v>
      </c>
      <c r="U117">
        <f>+C117-(C$7+F117*C$8)</f>
        <v>-5.1910999995016027E-2</v>
      </c>
    </row>
    <row r="118" spans="1:21" x14ac:dyDescent="0.2">
      <c r="A118" s="37" t="s">
        <v>163</v>
      </c>
      <c r="B118" s="35" t="s">
        <v>57</v>
      </c>
      <c r="C118" s="29">
        <v>55642.450349999999</v>
      </c>
      <c r="D118" s="29">
        <v>4.0000000000000002E-4</v>
      </c>
      <c r="E118">
        <f>+(C118-C$7)/C$8</f>
        <v>22458.940816914484</v>
      </c>
      <c r="F118">
        <f>ROUND(2*E118,0)/2</f>
        <v>22459</v>
      </c>
      <c r="G118">
        <f>+C118-(C$7+F118*C$8)</f>
        <v>-6.4504000001761597E-2</v>
      </c>
      <c r="K118">
        <f>G118</f>
        <v>-6.4504000001761597E-2</v>
      </c>
      <c r="O118">
        <f ca="1">+C$11+C$12*F118</f>
        <v>-6.4355607046774704E-2</v>
      </c>
      <c r="P118">
        <f>+D$11+D$12*F118+E$15*F118^2</f>
        <v>-6.1071180197528219E-2</v>
      </c>
      <c r="Q118" s="2">
        <f>+C118-15018.5</f>
        <v>40623.950349999999</v>
      </c>
      <c r="R118">
        <f>+(P118-G118)^2</f>
        <v>1.1784251808336887E-5</v>
      </c>
    </row>
    <row r="119" spans="1:21" x14ac:dyDescent="0.2">
      <c r="A119" s="37" t="s">
        <v>163</v>
      </c>
      <c r="B119" s="35" t="s">
        <v>57</v>
      </c>
      <c r="C119" s="29">
        <v>55642.450949999999</v>
      </c>
      <c r="D119" s="29">
        <v>2.9999999999999997E-4</v>
      </c>
      <c r="E119">
        <f>+(C119-C$7)/C$8</f>
        <v>22458.941367420677</v>
      </c>
      <c r="F119">
        <f>ROUND(2*E119,0)/2</f>
        <v>22459</v>
      </c>
      <c r="G119">
        <f>+C119-(C$7+F119*C$8)</f>
        <v>-6.3904000002366956E-2</v>
      </c>
      <c r="K119">
        <f>G119</f>
        <v>-6.3904000002366956E-2</v>
      </c>
      <c r="O119">
        <f ca="1">+C$11+C$12*F119</f>
        <v>-6.4355607046774704E-2</v>
      </c>
      <c r="P119">
        <f>+D$11+D$12*F119+E$15*F119^2</f>
        <v>-6.1071180197528219E-2</v>
      </c>
      <c r="Q119" s="2">
        <f>+C119-15018.5</f>
        <v>40623.950949999999</v>
      </c>
      <c r="R119">
        <f>+(P119-G119)^2</f>
        <v>8.0248680466865833E-6</v>
      </c>
    </row>
    <row r="120" spans="1:21" x14ac:dyDescent="0.2">
      <c r="A120" s="11" t="s">
        <v>157</v>
      </c>
      <c r="B120" s="88" t="s">
        <v>57</v>
      </c>
      <c r="C120" s="11">
        <v>55643.5406</v>
      </c>
      <c r="D120" s="11">
        <v>4.0000000000000002E-4</v>
      </c>
      <c r="E120" s="89">
        <f>+(C120-C$7)/C$8</f>
        <v>22459.941132538035</v>
      </c>
      <c r="F120">
        <f>ROUND(2*E120,0)/2</f>
        <v>22460</v>
      </c>
      <c r="G120">
        <f>+C120-(C$7+F120*C$8)</f>
        <v>-6.4160000001720618E-2</v>
      </c>
      <c r="J120">
        <f>G120</f>
        <v>-6.4160000001720618E-2</v>
      </c>
      <c r="O120">
        <f ca="1">+C$11+C$12*F120</f>
        <v>-6.4349167714120942E-2</v>
      </c>
      <c r="P120">
        <f>+D$11+D$12*F120+E$15*F120^2</f>
        <v>-6.1066289033951615E-2</v>
      </c>
      <c r="Q120" s="2">
        <f>+C120-15018.5</f>
        <v>40625.0406</v>
      </c>
      <c r="R120">
        <f>+(P120-G120)^2</f>
        <v>9.571047552094224E-6</v>
      </c>
    </row>
    <row r="121" spans="1:21" x14ac:dyDescent="0.2">
      <c r="A121" s="37" t="s">
        <v>163</v>
      </c>
      <c r="B121" s="35" t="s">
        <v>57</v>
      </c>
      <c r="C121" s="29">
        <v>55653.350259999999</v>
      </c>
      <c r="D121" s="29">
        <v>5.0000000000000001E-4</v>
      </c>
      <c r="E121">
        <f>+(C121-C$7)/C$8</f>
        <v>22468.941596798257</v>
      </c>
      <c r="F121">
        <f>ROUND(2*E121,0)/2</f>
        <v>22469</v>
      </c>
      <c r="G121">
        <f>+C121-(C$7+F121*C$8)</f>
        <v>-6.3654000005044509E-2</v>
      </c>
      <c r="K121">
        <f>G121</f>
        <v>-6.3654000005044509E-2</v>
      </c>
      <c r="O121">
        <f ca="1">+C$11+C$12*F121</f>
        <v>-6.4291213720237272E-2</v>
      </c>
      <c r="P121">
        <f>+D$11+D$12*F121+E$15*F121^2</f>
        <v>-6.1022099237858285E-2</v>
      </c>
      <c r="Q121" s="2">
        <f>+C121-15018.5</f>
        <v>40634.850259999999</v>
      </c>
      <c r="R121">
        <f>+(P121-G121)^2</f>
        <v>6.9269016483154331E-6</v>
      </c>
    </row>
    <row r="122" spans="1:21" x14ac:dyDescent="0.2">
      <c r="A122" s="37" t="s">
        <v>163</v>
      </c>
      <c r="B122" s="35" t="s">
        <v>57</v>
      </c>
      <c r="C122" s="29">
        <v>55653.351459999998</v>
      </c>
      <c r="D122" s="29">
        <v>4.0000000000000002E-4</v>
      </c>
      <c r="E122">
        <f>+(C122-C$7)/C$8</f>
        <v>22468.942697810635</v>
      </c>
      <c r="F122">
        <f>ROUND(2*E122,0)/2</f>
        <v>22469</v>
      </c>
      <c r="G122">
        <f>+C122-(C$7+F122*C$8)</f>
        <v>-6.2454000006255228E-2</v>
      </c>
      <c r="K122">
        <f>G122</f>
        <v>-6.2454000006255228E-2</v>
      </c>
      <c r="O122">
        <f ca="1">+C$11+C$12*F122</f>
        <v>-6.4291213720237272E-2</v>
      </c>
      <c r="P122">
        <f>+D$11+D$12*F122+E$15*F122^2</f>
        <v>-6.1022099237858285E-2</v>
      </c>
      <c r="Q122" s="2">
        <f>+C122-15018.5</f>
        <v>40634.851459999998</v>
      </c>
      <c r="R122">
        <f>+(P122-G122)^2</f>
        <v>2.0503398105357563E-6</v>
      </c>
    </row>
    <row r="123" spans="1:21" x14ac:dyDescent="0.2">
      <c r="A123" s="37" t="s">
        <v>164</v>
      </c>
      <c r="B123" s="35" t="s">
        <v>57</v>
      </c>
      <c r="C123" s="29">
        <v>55995.582399999999</v>
      </c>
      <c r="D123" s="29">
        <v>5.9999999999999995E-4</v>
      </c>
      <c r="E123" s="89">
        <f>+(C123-C$7)/C$8</f>
        <v>22782.94311619534</v>
      </c>
      <c r="F123">
        <f>ROUND(2*E123,0)/2</f>
        <v>22783</v>
      </c>
      <c r="G123">
        <f>+C123-(C$7+F123*C$8)</f>
        <v>-6.1998000004678033E-2</v>
      </c>
      <c r="K123">
        <f>G123</f>
        <v>-6.1998000004678033E-2</v>
      </c>
      <c r="O123">
        <f ca="1">+C$11+C$12*F123</f>
        <v>-6.2269263266962305E-2</v>
      </c>
      <c r="P123">
        <f>+D$11+D$12*F123+E$15*F123^2</f>
        <v>-5.9289553364314962E-2</v>
      </c>
      <c r="Q123" s="2">
        <f>+C123-15018.5</f>
        <v>40977.082399999999</v>
      </c>
      <c r="R123">
        <f>+(P123-G123)^2</f>
        <v>7.3356832036940081E-6</v>
      </c>
    </row>
    <row r="124" spans="1:21" x14ac:dyDescent="0.2">
      <c r="A124" s="37" t="s">
        <v>163</v>
      </c>
      <c r="B124" s="35" t="s">
        <v>57</v>
      </c>
      <c r="C124" s="29">
        <v>56005.3897</v>
      </c>
      <c r="D124" s="29">
        <v>2.0000000000000001E-4</v>
      </c>
      <c r="E124">
        <f>+(C124-C$7)/C$8</f>
        <v>22791.941415131212</v>
      </c>
      <c r="F124">
        <f>ROUND(2*E124,0)/2</f>
        <v>22792</v>
      </c>
      <c r="G124">
        <f>+C124-(C$7+F124*C$8)</f>
        <v>-6.3851999999315012E-2</v>
      </c>
      <c r="K124">
        <f>G124</f>
        <v>-6.3851999999315012E-2</v>
      </c>
      <c r="O124">
        <f ca="1">+C$11+C$12*F124</f>
        <v>-6.2211309273078635E-2</v>
      </c>
      <c r="P124">
        <f>+D$11+D$12*F124+E$15*F124^2</f>
        <v>-5.9234425244090505E-2</v>
      </c>
      <c r="Q124" s="2">
        <f>+C124-15018.5</f>
        <v>40986.8897</v>
      </c>
      <c r="R124">
        <f>+(P124-G124)^2</f>
        <v>2.1321996620086667E-5</v>
      </c>
    </row>
    <row r="125" spans="1:21" x14ac:dyDescent="0.2">
      <c r="A125" s="37" t="s">
        <v>163</v>
      </c>
      <c r="B125" s="35" t="s">
        <v>57</v>
      </c>
      <c r="C125" s="29">
        <v>56005.390200000002</v>
      </c>
      <c r="D125" s="29">
        <v>2.0000000000000001E-4</v>
      </c>
      <c r="E125">
        <f>+(C125-C$7)/C$8</f>
        <v>22791.941873886375</v>
      </c>
      <c r="F125">
        <f>ROUND(2*E125,0)/2</f>
        <v>22792</v>
      </c>
      <c r="G125">
        <f>+C125-(C$7+F125*C$8)</f>
        <v>-6.3351999997394159E-2</v>
      </c>
      <c r="K125">
        <f>G125</f>
        <v>-6.3351999997394159E-2</v>
      </c>
      <c r="O125">
        <f ca="1">+C$11+C$12*F125</f>
        <v>-6.2211309273078635E-2</v>
      </c>
      <c r="P125">
        <f>+D$11+D$12*F125+E$15*F125^2</f>
        <v>-5.9234425244090505E-2</v>
      </c>
      <c r="Q125" s="2">
        <f>+C125-15018.5</f>
        <v>40986.890200000002</v>
      </c>
      <c r="R125">
        <f>+(P125-G125)^2</f>
        <v>1.695442184904365E-5</v>
      </c>
    </row>
    <row r="126" spans="1:21" x14ac:dyDescent="0.2">
      <c r="A126" s="37" t="s">
        <v>163</v>
      </c>
      <c r="B126" s="35" t="s">
        <v>57</v>
      </c>
      <c r="C126" s="29">
        <v>56005.390599999999</v>
      </c>
      <c r="D126" s="29">
        <v>2.9999999999999997E-4</v>
      </c>
      <c r="E126">
        <f>+(C126-C$7)/C$8</f>
        <v>22791.942240890497</v>
      </c>
      <c r="F126">
        <f>ROUND(2*E126,0)/2</f>
        <v>22792</v>
      </c>
      <c r="G126">
        <f>+C126-(C$7+F126*C$8)</f>
        <v>-6.2952000000223052E-2</v>
      </c>
      <c r="K126">
        <f>G126</f>
        <v>-6.2952000000223052E-2</v>
      </c>
      <c r="O126">
        <f ca="1">+C$11+C$12*F126</f>
        <v>-6.2211309273078635E-2</v>
      </c>
      <c r="P126">
        <f>+D$11+D$12*F126+E$15*F126^2</f>
        <v>-5.9234425244090505E-2</v>
      </c>
      <c r="Q126" s="2">
        <f>+C126-15018.5</f>
        <v>40986.890599999999</v>
      </c>
      <c r="R126">
        <f>+(P126-G126)^2</f>
        <v>1.3820362067433965E-5</v>
      </c>
    </row>
    <row r="127" spans="1:21" x14ac:dyDescent="0.2">
      <c r="A127" s="29" t="s">
        <v>162</v>
      </c>
      <c r="B127" s="35" t="s">
        <v>57</v>
      </c>
      <c r="C127" s="29">
        <v>56021.742299999998</v>
      </c>
      <c r="D127" s="29">
        <v>5.0000000000000001E-4</v>
      </c>
      <c r="E127" s="89">
        <f>+(C127-C$7)/C$8</f>
        <v>22806.945094347586</v>
      </c>
      <c r="F127">
        <f>ROUND(2*E127,0)/2</f>
        <v>22807</v>
      </c>
      <c r="G127">
        <f>+C127-(C$7+F127*C$8)</f>
        <v>-5.9842000002390705E-2</v>
      </c>
      <c r="K127">
        <f>G127</f>
        <v>-5.9842000002390705E-2</v>
      </c>
      <c r="O127">
        <f ca="1">+C$11+C$12*F127</f>
        <v>-6.2114719283272501E-2</v>
      </c>
      <c r="P127">
        <f>+D$11+D$12*F127+E$15*F127^2</f>
        <v>-5.9141867748104371E-2</v>
      </c>
      <c r="Q127" s="2">
        <f>+C127-15018.5</f>
        <v>41003.242299999998</v>
      </c>
      <c r="R127">
        <f>+(P127-G127)^2</f>
        <v>4.9018517349206408E-7</v>
      </c>
    </row>
    <row r="128" spans="1:21" x14ac:dyDescent="0.2">
      <c r="A128" s="90" t="s">
        <v>165</v>
      </c>
      <c r="B128" s="91" t="s">
        <v>57</v>
      </c>
      <c r="C128" s="90">
        <v>56727.460899999998</v>
      </c>
      <c r="D128" s="90">
        <v>3.0000000000000001E-3</v>
      </c>
      <c r="E128" s="89">
        <f>+(C128-C$7)/C$8</f>
        <v>23454.449191031152</v>
      </c>
      <c r="F128">
        <f>ROUND(2*E128,0)/2</f>
        <v>23454.5</v>
      </c>
      <c r="G128">
        <f>+C128-(C$7+F128*C$8)</f>
        <v>-5.5377000004227739E-2</v>
      </c>
      <c r="J128">
        <f>G128</f>
        <v>-5.5377000004227739E-2</v>
      </c>
      <c r="O128">
        <f ca="1">+C$11+C$12*F128</f>
        <v>-5.7945251389974584E-2</v>
      </c>
      <c r="P128">
        <f>+D$11+D$12*F128+E$15*F128^2</f>
        <v>-5.4339417360297793E-2</v>
      </c>
      <c r="Q128" s="2">
        <f>+C128-15018.5</f>
        <v>41708.960899999998</v>
      </c>
      <c r="R128">
        <f>+(P128-G128)^2</f>
        <v>1.0765777429846577E-6</v>
      </c>
    </row>
    <row r="129" spans="1:18" x14ac:dyDescent="0.2">
      <c r="A129" s="105" t="s">
        <v>617</v>
      </c>
      <c r="B129" s="106" t="s">
        <v>74</v>
      </c>
      <c r="C129" s="107">
        <v>57017.917200000004</v>
      </c>
      <c r="D129" s="16"/>
      <c r="E129" s="89">
        <f>+(C129-C$7)/C$8</f>
        <v>23720.94584303601</v>
      </c>
      <c r="F129">
        <f>ROUND(2*E129,0)/2</f>
        <v>23721</v>
      </c>
      <c r="G129">
        <f>+C129-(C$7+F129*C$8)</f>
        <v>-5.902599999535596E-2</v>
      </c>
      <c r="K129">
        <f>G129</f>
        <v>-5.902599999535596E-2</v>
      </c>
      <c r="O129">
        <f ca="1">+C$11+C$12*F129</f>
        <v>-5.6229169237752369E-2</v>
      </c>
      <c r="P129">
        <f>+D$11+D$12*F129+E$15*F129^2</f>
        <v>-5.1904542748855143E-2</v>
      </c>
      <c r="Q129" s="2">
        <f>+C129-15018.5</f>
        <v>41999.417200000004</v>
      </c>
      <c r="R129">
        <f>+(P129-G129)^2</f>
        <v>5.0715153313739008E-5</v>
      </c>
    </row>
    <row r="130" spans="1:18" x14ac:dyDescent="0.2">
      <c r="A130" s="114" t="s">
        <v>624</v>
      </c>
      <c r="B130" s="115" t="s">
        <v>57</v>
      </c>
      <c r="C130" s="116">
        <v>57017.917200000004</v>
      </c>
      <c r="D130" s="116">
        <v>1E-4</v>
      </c>
      <c r="E130" s="89">
        <f>+(C130-C$7)/C$8</f>
        <v>23720.94584303601</v>
      </c>
      <c r="F130">
        <f>ROUND(2*E130,0)/2</f>
        <v>23721</v>
      </c>
      <c r="G130">
        <f>+C130-(C$7+F130*C$8)</f>
        <v>-5.902599999535596E-2</v>
      </c>
      <c r="K130">
        <f>G130</f>
        <v>-5.902599999535596E-2</v>
      </c>
      <c r="O130">
        <f ca="1">+C$11+C$12*F130</f>
        <v>-5.6229169237752369E-2</v>
      </c>
      <c r="P130">
        <f>+D$11+D$12*F130+E$15*F130^2</f>
        <v>-5.1904542748855143E-2</v>
      </c>
      <c r="Q130" s="2">
        <f>+C130-15018.5</f>
        <v>41999.417200000004</v>
      </c>
      <c r="R130">
        <f>+(P130-G130)^2</f>
        <v>5.0715153313739008E-5</v>
      </c>
    </row>
    <row r="131" spans="1:18" x14ac:dyDescent="0.2">
      <c r="A131" s="109" t="s">
        <v>622</v>
      </c>
      <c r="B131" s="110" t="s">
        <v>57</v>
      </c>
      <c r="C131" s="111">
        <v>57024.459580000002</v>
      </c>
      <c r="D131" s="111">
        <v>2.9999999999999997E-4</v>
      </c>
      <c r="E131" s="89">
        <f>+(C131-C$7)/C$8</f>
        <v>23726.948544186384</v>
      </c>
      <c r="F131">
        <f>ROUND(2*E131,0)/2</f>
        <v>23727</v>
      </c>
      <c r="G131">
        <f>+C131-(C$7+F131*C$8)</f>
        <v>-5.6082000002788845E-2</v>
      </c>
      <c r="K131">
        <f>G131</f>
        <v>-5.6082000002788845E-2</v>
      </c>
      <c r="O131">
        <f ca="1">+C$11+C$12*F131</f>
        <v>-5.6190533241829904E-2</v>
      </c>
      <c r="P131">
        <f>+D$11+D$12*F131+E$15*F131^2</f>
        <v>-5.1846647757355813E-2</v>
      </c>
      <c r="Q131" s="2">
        <f>+C131-15018.5</f>
        <v>42005.959580000002</v>
      </c>
      <c r="R131">
        <f>+(P131-G131)^2</f>
        <v>1.7938208642894631E-5</v>
      </c>
    </row>
    <row r="132" spans="1:18" x14ac:dyDescent="0.2">
      <c r="A132" s="109" t="s">
        <v>622</v>
      </c>
      <c r="B132" s="110" t="s">
        <v>57</v>
      </c>
      <c r="C132" s="111">
        <v>57036.445249999997</v>
      </c>
      <c r="D132" s="111">
        <v>2.0000000000000001E-4</v>
      </c>
      <c r="E132" s="89">
        <f>+(C132-C$7)/C$8</f>
        <v>23737.945520072371</v>
      </c>
      <c r="F132">
        <f>ROUND(2*E132,0)/2</f>
        <v>23738</v>
      </c>
      <c r="G132">
        <f>+C132-(C$7+F132*C$8)</f>
        <v>-5.9377999998105224E-2</v>
      </c>
      <c r="K132">
        <f>G132</f>
        <v>-5.9377999998105224E-2</v>
      </c>
      <c r="O132">
        <f ca="1">+C$11+C$12*F132</f>
        <v>-5.6119700582638765E-2</v>
      </c>
      <c r="P132">
        <f>+D$11+D$12*F132+E$15*F132^2</f>
        <v>-5.1740155122164788E-2</v>
      </c>
      <c r="Q132" s="2">
        <f>+C132-15018.5</f>
        <v>42017.945249999997</v>
      </c>
      <c r="R132">
        <f>+(P132-G132)^2</f>
        <v>5.8336674348929573E-5</v>
      </c>
    </row>
    <row r="133" spans="1:18" x14ac:dyDescent="0.2">
      <c r="A133" s="109" t="s">
        <v>622</v>
      </c>
      <c r="B133" s="110" t="s">
        <v>57</v>
      </c>
      <c r="C133" s="111">
        <v>57036.445269999997</v>
      </c>
      <c r="D133" s="111">
        <v>2.0000000000000001E-4</v>
      </c>
      <c r="E133" s="89">
        <f>+(C133-C$7)/C$8</f>
        <v>23737.945538422577</v>
      </c>
      <c r="F133">
        <f>ROUND(2*E133,0)/2</f>
        <v>23738</v>
      </c>
      <c r="G133">
        <f>+C133-(C$7+F133*C$8)</f>
        <v>-5.9357999998610467E-2</v>
      </c>
      <c r="K133">
        <f>G133</f>
        <v>-5.9357999998610467E-2</v>
      </c>
      <c r="O133">
        <f ca="1">+C$11+C$12*F133</f>
        <v>-5.6119700582638765E-2</v>
      </c>
      <c r="P133">
        <f>+D$11+D$12*F133+E$15*F133^2</f>
        <v>-5.1740155122164788E-2</v>
      </c>
      <c r="Q133" s="2">
        <f>+C133-15018.5</f>
        <v>42017.945269999997</v>
      </c>
      <c r="R133">
        <f>+(P133-G133)^2</f>
        <v>5.8031560561589674E-5</v>
      </c>
    </row>
    <row r="134" spans="1:18" x14ac:dyDescent="0.2">
      <c r="A134" s="109" t="s">
        <v>622</v>
      </c>
      <c r="B134" s="110" t="s">
        <v>57</v>
      </c>
      <c r="C134" s="111">
        <v>57036.446309999999</v>
      </c>
      <c r="D134" s="111">
        <v>2.9999999999999997E-4</v>
      </c>
      <c r="E134" s="89">
        <f>+(C134-C$7)/C$8</f>
        <v>23737.946492633309</v>
      </c>
      <c r="F134">
        <f>ROUND(2*E134,0)/2</f>
        <v>23738</v>
      </c>
      <c r="G134">
        <f>+C134-(C$7+F134*C$8)</f>
        <v>-5.8317999995779246E-2</v>
      </c>
      <c r="K134">
        <f>G134</f>
        <v>-5.8317999995779246E-2</v>
      </c>
      <c r="O134">
        <f ca="1">+C$11+C$12*F134</f>
        <v>-5.6119700582638765E-2</v>
      </c>
      <c r="P134">
        <f>+D$11+D$12*F134+E$15*F134^2</f>
        <v>-5.1740155122164788E-2</v>
      </c>
      <c r="Q134" s="2">
        <f>+C134-15018.5</f>
        <v>42017.946309999999</v>
      </c>
      <c r="R134">
        <f>+(P134-G134)^2</f>
        <v>4.3268043181336002E-5</v>
      </c>
    </row>
    <row r="135" spans="1:18" x14ac:dyDescent="0.2">
      <c r="A135" s="112" t="s">
        <v>166</v>
      </c>
      <c r="B135" s="113"/>
      <c r="C135" s="112">
        <v>57074.594799999999</v>
      </c>
      <c r="D135" s="112">
        <v>4.8999999999999998E-3</v>
      </c>
      <c r="E135" s="89">
        <f>+(C135-C$7)/C$8</f>
        <v>23772.948125801675</v>
      </c>
      <c r="F135">
        <f>ROUND(2*E135,0)/2</f>
        <v>23773</v>
      </c>
      <c r="G135">
        <f>+C135-(C$7+F135*C$8)</f>
        <v>-5.6537999997090083E-2</v>
      </c>
      <c r="J135">
        <f>G135</f>
        <v>-5.6537999997090083E-2</v>
      </c>
      <c r="O135">
        <f ca="1">+C$11+C$12*F135</f>
        <v>-5.5894323939757795E-2</v>
      </c>
      <c r="P135">
        <f>+D$11+D$12*F135+E$15*F135^2</f>
        <v>-5.1398285902797936E-2</v>
      </c>
      <c r="Q135" s="2">
        <f>+C135-15018.5</f>
        <v>42056.094799999999</v>
      </c>
      <c r="R135">
        <f>+(P135-G135)^2</f>
        <v>2.6416660971065345E-5</v>
      </c>
    </row>
    <row r="136" spans="1:18" x14ac:dyDescent="0.2">
      <c r="A136" s="114" t="s">
        <v>625</v>
      </c>
      <c r="B136" s="115" t="s">
        <v>57</v>
      </c>
      <c r="C136" s="116">
        <v>57087.670599999998</v>
      </c>
      <c r="D136" s="116">
        <v>1E-4</v>
      </c>
      <c r="E136" s="89">
        <f>+(C136-C$7)/C$8</f>
        <v>23784.945307209979</v>
      </c>
      <c r="F136">
        <f>ROUND(2*E136,0)/2</f>
        <v>23785</v>
      </c>
      <c r="G136">
        <f>+C136-(C$7+F136*C$8)</f>
        <v>-5.9610000003885943E-2</v>
      </c>
      <c r="K136">
        <f>G136</f>
        <v>-5.9610000003885943E-2</v>
      </c>
      <c r="O136">
        <f ca="1">+C$11+C$12*F136</f>
        <v>-5.5817051947912893E-2</v>
      </c>
      <c r="P136">
        <f>+D$11+D$12*F136+E$15*F136^2</f>
        <v>-5.1280012502555872E-2</v>
      </c>
      <c r="Q136" s="2">
        <f>+C136-15018.5</f>
        <v>42069.170599999998</v>
      </c>
      <c r="R136">
        <f>+(P136-G136)^2</f>
        <v>6.9388691772315206E-5</v>
      </c>
    </row>
    <row r="137" spans="1:18" x14ac:dyDescent="0.2">
      <c r="A137" s="114" t="s">
        <v>625</v>
      </c>
      <c r="B137" s="115" t="s">
        <v>57</v>
      </c>
      <c r="C137" s="116">
        <v>57392.847800000003</v>
      </c>
      <c r="D137" s="116">
        <v>1E-4</v>
      </c>
      <c r="E137" s="89">
        <f>+(C137-C$7)/C$8</f>
        <v>24064.948536846299</v>
      </c>
      <c r="F137">
        <f>ROUND(2*E137,0)/2</f>
        <v>24065</v>
      </c>
      <c r="G137">
        <f>+C137-(C$7+F137*C$8)</f>
        <v>-5.6089999998221174E-2</v>
      </c>
      <c r="K137">
        <f>G137</f>
        <v>-5.6089999998221174E-2</v>
      </c>
      <c r="O137">
        <f ca="1">+C$11+C$12*F137</f>
        <v>-5.4014038804865133E-2</v>
      </c>
      <c r="P137">
        <f>+D$11+D$12*F137+E$15*F137^2</f>
        <v>-4.8366478471298935E-2</v>
      </c>
      <c r="Q137" s="2">
        <f>+C137-15018.5</f>
        <v>42374.347800000003</v>
      </c>
      <c r="R137">
        <f>+(P137-G137)^2</f>
        <v>5.9652784776831231E-5</v>
      </c>
    </row>
    <row r="138" spans="1:18" x14ac:dyDescent="0.2">
      <c r="A138" s="114" t="s">
        <v>626</v>
      </c>
      <c r="B138" s="115" t="s">
        <v>57</v>
      </c>
      <c r="C138" s="116">
        <v>57463.690199999997</v>
      </c>
      <c r="D138" s="116">
        <v>2.0000000000000001E-4</v>
      </c>
      <c r="E138" s="89">
        <f>+(C138-C$7)/C$8</f>
        <v>24129.94716975592</v>
      </c>
      <c r="F138">
        <f>ROUND(2*E138,0)/2</f>
        <v>24130</v>
      </c>
      <c r="G138">
        <f>+C138-(C$7+F138*C$8)</f>
        <v>-5.7580000007874332E-2</v>
      </c>
      <c r="K138">
        <f>G138</f>
        <v>-5.7580000007874332E-2</v>
      </c>
      <c r="O138">
        <f ca="1">+C$11+C$12*F138</f>
        <v>-5.3595482182371923E-2</v>
      </c>
      <c r="P138">
        <f>+D$11+D$12*F138+E$15*F138^2</f>
        <v>-4.7647932484412348E-2</v>
      </c>
      <c r="Q138" s="2">
        <f>+C138-15018.5</f>
        <v>42445.190199999997</v>
      </c>
      <c r="R138">
        <f>+(P138-G138)^2</f>
        <v>9.8645965290608285E-5</v>
      </c>
    </row>
    <row r="139" spans="1:18" x14ac:dyDescent="0.2">
      <c r="A139" s="109" t="s">
        <v>622</v>
      </c>
      <c r="B139" s="110" t="s">
        <v>57</v>
      </c>
      <c r="C139" s="111">
        <v>57508.377540000001</v>
      </c>
      <c r="D139" s="111">
        <v>2.0000000000000001E-4</v>
      </c>
      <c r="E139" s="89">
        <f>+(C139-C$7)/C$8</f>
        <v>24170.948265263243</v>
      </c>
      <c r="F139">
        <f>ROUND(2*E139,0)/2</f>
        <v>24171</v>
      </c>
      <c r="G139">
        <f>+C139-(C$7+F139*C$8)</f>
        <v>-5.6385999996564351E-2</v>
      </c>
      <c r="K139">
        <f>G139</f>
        <v>-5.6385999996564351E-2</v>
      </c>
      <c r="O139">
        <f ca="1">+C$11+C$12*F139</f>
        <v>-5.3331469543568488E-2</v>
      </c>
      <c r="P139">
        <f>+D$11+D$12*F139+E$15*F139^2</f>
        <v>-4.7186519321855691E-2</v>
      </c>
      <c r="Q139" s="2">
        <f>+C139-15018.5</f>
        <v>42489.877540000001</v>
      </c>
      <c r="R139">
        <f>+(P139-G139)^2</f>
        <v>8.4630444684338107E-5</v>
      </c>
    </row>
    <row r="140" spans="1:18" x14ac:dyDescent="0.2">
      <c r="A140" s="117" t="s">
        <v>627</v>
      </c>
      <c r="B140" s="118" t="s">
        <v>57</v>
      </c>
      <c r="C140" s="119">
        <v>57803.746700000003</v>
      </c>
      <c r="D140" s="119">
        <v>2.9999999999999997E-4</v>
      </c>
      <c r="E140" s="89">
        <f>+(C140-C$7)/C$8</f>
        <v>24441.952517006055</v>
      </c>
      <c r="F140">
        <f>ROUND(2*E140,0)/2</f>
        <v>24442</v>
      </c>
      <c r="G140">
        <f>+C140-(C$7+F140*C$8)</f>
        <v>-5.1751999999396503E-2</v>
      </c>
      <c r="K140">
        <f>G140</f>
        <v>-5.1751999999396503E-2</v>
      </c>
      <c r="O140">
        <f ca="1">+C$11+C$12*F140</f>
        <v>-5.1586410394404425E-2</v>
      </c>
      <c r="P140">
        <f>+D$11+D$12*F140+E$15*F140^2</f>
        <v>-4.3977616694451438E-2</v>
      </c>
      <c r="Q140" s="2">
        <f>+C140-15018.5</f>
        <v>42785.246700000003</v>
      </c>
      <c r="R140">
        <f>+(P140-G140)^2</f>
        <v>6.0441035772208552E-5</v>
      </c>
    </row>
    <row r="141" spans="1:18" x14ac:dyDescent="0.2">
      <c r="A141" s="126" t="s">
        <v>630</v>
      </c>
      <c r="B141" s="127" t="s">
        <v>57</v>
      </c>
      <c r="C141" s="128">
        <v>57839.712</v>
      </c>
      <c r="D141" s="128">
        <v>6.9999999999999999E-4</v>
      </c>
      <c r="E141" s="89">
        <f>+(C141-C$7)/C$8</f>
        <v>24474.951050824566</v>
      </c>
      <c r="F141">
        <f>ROUND(2*E141,0)/2</f>
        <v>24475</v>
      </c>
      <c r="G141">
        <f>+C141-(C$7+F141*C$8)</f>
        <v>-5.3350000001955777E-2</v>
      </c>
      <c r="K141">
        <f>G141</f>
        <v>-5.3350000001955777E-2</v>
      </c>
      <c r="O141">
        <f ca="1">+C$11+C$12*F141</f>
        <v>-5.1373912416830952E-2</v>
      </c>
      <c r="P141">
        <f>+D$11+D$12*F141+E$15*F141^2</f>
        <v>-4.356799074294293E-2</v>
      </c>
      <c r="Q141" s="2">
        <f>+C141-15018.5</f>
        <v>42821.212</v>
      </c>
      <c r="R141">
        <f>+(P141-G141)^2</f>
        <v>9.5687705143413068E-5</v>
      </c>
    </row>
    <row r="142" spans="1:18" x14ac:dyDescent="0.2">
      <c r="A142" s="117" t="s">
        <v>627</v>
      </c>
      <c r="B142" s="118" t="s">
        <v>57</v>
      </c>
      <c r="C142" s="119">
        <v>57875.676599999999</v>
      </c>
      <c r="D142" s="119">
        <v>1E-3</v>
      </c>
      <c r="E142" s="89">
        <f>+(C142-C$7)/C$8</f>
        <v>24507.948942385858</v>
      </c>
      <c r="F142">
        <f>ROUND(2*E142,0)/2</f>
        <v>24508</v>
      </c>
      <c r="G142">
        <f>+C142-(C$7+F142*C$8)</f>
        <v>-5.564800000138348E-2</v>
      </c>
      <c r="K142">
        <f>G142</f>
        <v>-5.564800000138348E-2</v>
      </c>
      <c r="O142">
        <f ca="1">+C$11+C$12*F142</f>
        <v>-5.1161414439257452E-2</v>
      </c>
      <c r="P142">
        <f>+D$11+D$12*F142+E$15*F142^2</f>
        <v>-4.3154267152982984E-2</v>
      </c>
      <c r="Q142" s="2">
        <f>+C142-15018.5</f>
        <v>42857.176599999999</v>
      </c>
      <c r="R142">
        <f>+(P142-G142)^2</f>
        <v>1.5609336048720158E-4</v>
      </c>
    </row>
    <row r="143" spans="1:18" x14ac:dyDescent="0.2">
      <c r="A143" s="117" t="s">
        <v>629</v>
      </c>
      <c r="B143" s="123" t="s">
        <v>57</v>
      </c>
      <c r="C143" s="117">
        <v>58107.830800000003</v>
      </c>
      <c r="D143" s="117">
        <v>2.9999999999999997E-4</v>
      </c>
      <c r="E143" s="89">
        <f>+(C143-C$7)/C$8</f>
        <v>24720.952816114419</v>
      </c>
      <c r="F143">
        <f>ROUND(2*E143,0)/2</f>
        <v>24721</v>
      </c>
      <c r="G143">
        <f>+C143-(C$7+F143*C$8)</f>
        <v>-5.1425999998173211E-2</v>
      </c>
      <c r="K143">
        <f>G143</f>
        <v>-5.1425999998173211E-2</v>
      </c>
      <c r="O143">
        <f ca="1">+C$11+C$12*F143</f>
        <v>-4.9789836584010427E-2</v>
      </c>
      <c r="P143">
        <f>+D$11+D$12*F143+E$15*F143^2</f>
        <v>-4.0385289059664542E-2</v>
      </c>
      <c r="Q143" s="2">
        <f>+C143-15018.5</f>
        <v>43089.330800000003</v>
      </c>
      <c r="R143">
        <f>+(P143-G143)^2</f>
        <v>1.2189729802770497E-4</v>
      </c>
    </row>
    <row r="144" spans="1:18" x14ac:dyDescent="0.2">
      <c r="A144" s="129" t="s">
        <v>633</v>
      </c>
      <c r="B144" s="125" t="s">
        <v>57</v>
      </c>
      <c r="C144" s="124">
        <v>58176.49821999995</v>
      </c>
      <c r="D144" s="124">
        <v>2.0000000000000001E-4</v>
      </c>
      <c r="E144" s="89">
        <f>+(C144-C$7)/C$8</f>
        <v>24783.955882433853</v>
      </c>
      <c r="F144">
        <f>ROUND(2*E144,0)/2</f>
        <v>24784</v>
      </c>
      <c r="G144">
        <f>+C144-(C$7+F144*C$8)</f>
        <v>-4.8084000052767806E-2</v>
      </c>
      <c r="K144">
        <f>G144</f>
        <v>-4.8084000052767806E-2</v>
      </c>
      <c r="O144">
        <f ca="1">+C$11+C$12*F144</f>
        <v>-4.9384158626824687E-2</v>
      </c>
      <c r="P144">
        <f>+D$11+D$12*F144+E$15*F144^2</f>
        <v>-3.9533582161054071E-2</v>
      </c>
      <c r="Q144" s="2">
        <f>+C144-15018.5</f>
        <v>43157.99821999995</v>
      </c>
      <c r="R144">
        <f>+(P144-G144)^2</f>
        <v>7.3109646122938363E-5</v>
      </c>
    </row>
    <row r="145" spans="1:18" x14ac:dyDescent="0.2">
      <c r="A145" s="126" t="s">
        <v>630</v>
      </c>
      <c r="B145" s="127" t="s">
        <v>57</v>
      </c>
      <c r="C145" s="128">
        <v>58238.622000000003</v>
      </c>
      <c r="D145" s="128">
        <v>2.9999999999999997E-4</v>
      </c>
      <c r="E145" s="89">
        <f>+(C145-C$7)/C$8</f>
        <v>24840.955091540007</v>
      </c>
      <c r="F145">
        <f>ROUND(2*E145,0)/2</f>
        <v>24841</v>
      </c>
      <c r="G145">
        <f>+C145-(C$7+F145*C$8)</f>
        <v>-4.8945999995339662E-2</v>
      </c>
      <c r="K145">
        <f>G145</f>
        <v>-4.8945999995339662E-2</v>
      </c>
      <c r="O145">
        <f ca="1">+C$11+C$12*F145</f>
        <v>-4.9017116665561383E-2</v>
      </c>
      <c r="P145">
        <f>+D$11+D$12*F145+E$15*F145^2</f>
        <v>-3.8750121588543296E-2</v>
      </c>
      <c r="Q145" s="2">
        <f>+C145-15018.5</f>
        <v>43220.122000000003</v>
      </c>
      <c r="R145">
        <f>+(P145-G145)^2</f>
        <v>1.039559364861764E-4</v>
      </c>
    </row>
    <row r="146" spans="1:18" x14ac:dyDescent="0.2">
      <c r="A146" s="124" t="s">
        <v>0</v>
      </c>
      <c r="B146" s="125" t="s">
        <v>57</v>
      </c>
      <c r="C146" s="124">
        <v>58507.832000000002</v>
      </c>
      <c r="D146" s="124">
        <v>2.9999999999999997E-4</v>
      </c>
      <c r="E146" s="89">
        <f>+(C146-C$7)/C$8</f>
        <v>25087.958044088209</v>
      </c>
      <c r="F146">
        <f>ROUND(2*E146,0)/2</f>
        <v>25088</v>
      </c>
      <c r="G146">
        <f>+C146-(C$7+F146*C$8)</f>
        <v>-4.5727999997325242E-2</v>
      </c>
      <c r="K146">
        <f>G146</f>
        <v>-4.5727999997325242E-2</v>
      </c>
      <c r="O146">
        <f ca="1">+C$11+C$12*F146</f>
        <v>-4.7426601500087151E-2</v>
      </c>
      <c r="P146">
        <f>+D$11+D$12*F146+E$15*F146^2</f>
        <v>-3.5213856960715439E-2</v>
      </c>
      <c r="Q146" s="2">
        <f>+C146-15018.5</f>
        <v>43489.332000000002</v>
      </c>
      <c r="R146">
        <f>+(P146-G146)^2</f>
        <v>1.1054720379429039E-4</v>
      </c>
    </row>
    <row r="147" spans="1:18" x14ac:dyDescent="0.2">
      <c r="A147" s="126" t="s">
        <v>631</v>
      </c>
      <c r="B147" s="127" t="s">
        <v>57</v>
      </c>
      <c r="C147" s="128">
        <v>58528.540500000003</v>
      </c>
      <c r="D147" s="128">
        <v>1E-4</v>
      </c>
      <c r="E147" s="89">
        <f>+(C147-C$7)/C$8</f>
        <v>25106.958306496159</v>
      </c>
      <c r="F147">
        <f>ROUND(2*E147,0)/2</f>
        <v>25107</v>
      </c>
      <c r="G147">
        <f>+C147-(C$7+F147*C$8)</f>
        <v>-4.5442000002367422E-2</v>
      </c>
      <c r="K147">
        <f>G147</f>
        <v>-4.5442000002367422E-2</v>
      </c>
      <c r="O147">
        <f ca="1">+C$11+C$12*F147</f>
        <v>-4.730425417966605E-2</v>
      </c>
      <c r="P147">
        <f>+D$11+D$12*F147+E$15*F147^2</f>
        <v>-3.4932328126889178E-2</v>
      </c>
      <c r="Q147" s="2">
        <f>+C147-15018.5</f>
        <v>43510.040500000003</v>
      </c>
      <c r="R147">
        <f>+(P147-G147)^2</f>
        <v>1.1045320293021839E-4</v>
      </c>
    </row>
    <row r="148" spans="1:18" x14ac:dyDescent="0.2">
      <c r="A148" s="126" t="s">
        <v>631</v>
      </c>
      <c r="B148" s="127" t="s">
        <v>57</v>
      </c>
      <c r="C148" s="128">
        <v>58540.5288</v>
      </c>
      <c r="D148" s="128">
        <v>1E-4</v>
      </c>
      <c r="E148" s="89">
        <f>+(C148-C$7)/C$8</f>
        <v>25117.957695434285</v>
      </c>
      <c r="F148">
        <f>ROUND(2*E148,0)/2</f>
        <v>25118</v>
      </c>
      <c r="G148">
        <f>+C148-(C$7+F148*C$8)</f>
        <v>-4.6107999995001592E-2</v>
      </c>
      <c r="K148">
        <f>G148</f>
        <v>-4.6107999995001592E-2</v>
      </c>
      <c r="O148">
        <f ca="1">+C$11+C$12*F148</f>
        <v>-4.7233421520474883E-2</v>
      </c>
      <c r="P148">
        <f>+D$11+D$12*F148+E$15*F148^2</f>
        <v>-3.4768716895099638E-2</v>
      </c>
      <c r="Q148" s="2">
        <f>+C148-15018.5</f>
        <v>43522.0288</v>
      </c>
      <c r="R148">
        <f>+(P148-G148)^2</f>
        <v>1.2857934121972205E-4</v>
      </c>
    </row>
    <row r="149" spans="1:18" x14ac:dyDescent="0.2">
      <c r="A149" s="129" t="s">
        <v>632</v>
      </c>
      <c r="B149" s="125" t="s">
        <v>57</v>
      </c>
      <c r="C149" s="124">
        <v>58542.708299999998</v>
      </c>
      <c r="D149" s="124">
        <v>1E-4</v>
      </c>
      <c r="E149" s="89">
        <f>+(C149-C$7)/C$8</f>
        <v>25119.957409171064</v>
      </c>
      <c r="F149">
        <f>ROUND(2*E149,0)/2</f>
        <v>25120</v>
      </c>
      <c r="G149">
        <f>+C149-(C$7+F149*C$8)</f>
        <v>-4.6419999998761341E-2</v>
      </c>
      <c r="K149">
        <f>G149</f>
        <v>-4.6419999998761341E-2</v>
      </c>
      <c r="O149">
        <f ca="1">+C$11+C$12*F149</f>
        <v>-4.7220542855167386E-2</v>
      </c>
      <c r="P149">
        <f>+D$11+D$12*F149+E$15*F149^2</f>
        <v>-3.4738920482616731E-2</v>
      </c>
      <c r="Q149" s="2">
        <f>+C149-15018.5</f>
        <v>43524.208299999998</v>
      </c>
      <c r="R149">
        <f>+(P149-G149)^2</f>
        <v>1.3644761866249319E-4</v>
      </c>
    </row>
    <row r="150" spans="1:18" ht="12" customHeight="1" x14ac:dyDescent="0.2">
      <c r="A150" s="129" t="s">
        <v>632</v>
      </c>
      <c r="B150" s="125" t="s">
        <v>57</v>
      </c>
      <c r="C150" s="124">
        <v>58966.685599999997</v>
      </c>
      <c r="D150" s="124">
        <v>5.0000000000000001E-4</v>
      </c>
      <c r="E150" s="89">
        <f>+(C150-C$7)/C$8</f>
        <v>25508.96095626595</v>
      </c>
      <c r="F150">
        <f>ROUND(2*E150,0)/2</f>
        <v>25509</v>
      </c>
      <c r="G150">
        <f>+C150-(C$7+F150*C$8)</f>
        <v>-4.2553999999654479E-2</v>
      </c>
      <c r="K150">
        <f>G150</f>
        <v>-4.2553999999654479E-2</v>
      </c>
      <c r="O150">
        <f ca="1">+C$11+C$12*F150</f>
        <v>-4.4715642452861776E-2</v>
      </c>
      <c r="P150">
        <f>+D$11+D$12*F150+E$15*F150^2</f>
        <v>-2.8657362740023951E-2</v>
      </c>
      <c r="Q150" s="2">
        <f>+C150-15018.5</f>
        <v>43948.185599999997</v>
      </c>
      <c r="R150">
        <f>+(P150-G150)^2</f>
        <v>1.9311652712575148E-4</v>
      </c>
    </row>
    <row r="151" spans="1:18" ht="12" customHeight="1" x14ac:dyDescent="0.2">
      <c r="A151" s="129" t="s">
        <v>632</v>
      </c>
      <c r="B151" s="125" t="s">
        <v>57</v>
      </c>
      <c r="C151" s="124">
        <v>58975.405599999998</v>
      </c>
      <c r="D151" s="124">
        <v>2.0000000000000001E-4</v>
      </c>
      <c r="E151" s="89">
        <f>+(C151-C$7)/C$8</f>
        <v>25516.961646233711</v>
      </c>
      <c r="F151">
        <f>ROUND(2*E151,0)/2</f>
        <v>25517</v>
      </c>
      <c r="G151">
        <f>+C151-(C$7+F151*C$8)</f>
        <v>-4.1802000007010065E-2</v>
      </c>
      <c r="K151">
        <f>G151</f>
        <v>-4.1802000007010065E-2</v>
      </c>
      <c r="O151">
        <f ca="1">+C$11+C$12*F151</f>
        <v>-4.4664127791631841E-2</v>
      </c>
      <c r="P151">
        <f>+D$11+D$12*F151+E$15*F151^2</f>
        <v>-2.8526316891377412E-2</v>
      </c>
      <c r="Q151" s="2">
        <f>+C151-15018.5</f>
        <v>43956.905599999998</v>
      </c>
      <c r="R151">
        <f>+(P151-G151)^2</f>
        <v>1.7624376218669389E-4</v>
      </c>
    </row>
    <row r="152" spans="1:18" ht="12" customHeight="1" x14ac:dyDescent="0.2">
      <c r="A152" s="129" t="s">
        <v>632</v>
      </c>
      <c r="B152" s="125" t="s">
        <v>57</v>
      </c>
      <c r="C152" s="124">
        <v>59002.650699999998</v>
      </c>
      <c r="D152" s="124">
        <v>1.5E-3</v>
      </c>
      <c r="E152" s="89">
        <f>+(C152-C$7)/C$8</f>
        <v>25541.959306582401</v>
      </c>
      <c r="F152">
        <f>ROUND(2*E152,0)/2</f>
        <v>25542</v>
      </c>
      <c r="G152">
        <f>+C152-(C$7+F152*C$8)</f>
        <v>-4.4351999997161329E-2</v>
      </c>
      <c r="K152">
        <f>G152</f>
        <v>-4.4351999997161329E-2</v>
      </c>
      <c r="O152">
        <f ca="1">+C$11+C$12*F152</f>
        <v>-4.4503144475288303E-2</v>
      </c>
      <c r="P152">
        <f>+D$11+D$12*F152+E$15*F152^2</f>
        <v>-2.8115246478579881E-2</v>
      </c>
      <c r="Q152" s="2">
        <f>+C152-15018.5</f>
        <v>43984.150699999998</v>
      </c>
      <c r="R152">
        <f>+(P152-G152)^2</f>
        <v>2.6363216482316702E-4</v>
      </c>
    </row>
    <row r="153" spans="1:18" ht="12" customHeight="1" x14ac:dyDescent="0.2">
      <c r="A153" s="126" t="s">
        <v>634</v>
      </c>
      <c r="B153" s="127" t="s">
        <v>57</v>
      </c>
      <c r="C153" s="128">
        <v>59290.390200000002</v>
      </c>
      <c r="D153" s="128">
        <v>2.0000000000000001E-4</v>
      </c>
      <c r="E153" s="89">
        <f>+(C153-C$7)/C$8</f>
        <v>25805.963266556933</v>
      </c>
      <c r="F153">
        <f>ROUND(2*E153,0)/2</f>
        <v>25806</v>
      </c>
      <c r="G153">
        <f>+C153-(C$7+F153*C$8)</f>
        <v>-4.0035999998508487E-2</v>
      </c>
      <c r="K153">
        <f>G153</f>
        <v>-4.0035999998508487E-2</v>
      </c>
      <c r="O153">
        <f ca="1">+C$11+C$12*F153</f>
        <v>-4.2803160654700412E-2</v>
      </c>
      <c r="P153">
        <f>+D$11+D$12*F153+E$15*F153^2</f>
        <v>-2.3630801402772628E-2</v>
      </c>
      <c r="Q153" s="2">
        <f>+C153-15018.5</f>
        <v>44271.890200000002</v>
      </c>
      <c r="R153">
        <f>+(P153-G153)^2</f>
        <v>2.6913054096553378E-4</v>
      </c>
    </row>
    <row r="154" spans="1:18" ht="12" customHeight="1" x14ac:dyDescent="0.2">
      <c r="A154" s="130" t="s">
        <v>635</v>
      </c>
      <c r="B154" s="131" t="s">
        <v>57</v>
      </c>
      <c r="C154" s="132">
        <v>59690.388700000003</v>
      </c>
      <c r="D154" s="130">
        <v>1E-4</v>
      </c>
      <c r="E154" s="89">
        <f>+(C154-C$7)/C$8</f>
        <v>26172.966017252867</v>
      </c>
      <c r="F154">
        <f>ROUND(2*E154,0)/2</f>
        <v>26173</v>
      </c>
      <c r="G154">
        <f>+C154-(C$7+F154*C$8)</f>
        <v>-3.7038000002212357E-2</v>
      </c>
      <c r="K154">
        <f>G154</f>
        <v>-3.7038000002212357E-2</v>
      </c>
      <c r="O154">
        <f ca="1">+C$11+C$12*F154</f>
        <v>-4.0439925570777135E-2</v>
      </c>
      <c r="P154">
        <f>+D$11+D$12*F154+E$15*F154^2</f>
        <v>-1.6961059714076132E-2</v>
      </c>
      <c r="Q154" s="2">
        <f>+C154-15018.5</f>
        <v>44671.888700000003</v>
      </c>
      <c r="R154">
        <f>+(P154-G154)^2</f>
        <v>4.0308353133338749E-4</v>
      </c>
    </row>
    <row r="155" spans="1:18" ht="12" customHeight="1" x14ac:dyDescent="0.2">
      <c r="C155" s="16"/>
      <c r="D155" s="16"/>
    </row>
    <row r="156" spans="1:18" x14ac:dyDescent="0.2">
      <c r="C156" s="16"/>
      <c r="D156" s="16"/>
    </row>
    <row r="157" spans="1:18" x14ac:dyDescent="0.2">
      <c r="C157" s="16"/>
      <c r="D157" s="16"/>
    </row>
    <row r="158" spans="1:18" x14ac:dyDescent="0.2">
      <c r="C158" s="16"/>
      <c r="D158" s="16"/>
    </row>
    <row r="159" spans="1:18" x14ac:dyDescent="0.2">
      <c r="C159" s="16"/>
      <c r="D159" s="16"/>
    </row>
    <row r="160" spans="1:18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</sheetData>
  <protectedRanges>
    <protectedRange sqref="A144:D150" name="Range1"/>
  </protectedRanges>
  <sortState xmlns:xlrd2="http://schemas.microsoft.com/office/spreadsheetml/2017/richdata2" ref="A21:AG154">
    <sortCondition ref="C21:C154"/>
  </sortState>
  <phoneticPr fontId="8" type="noConversion"/>
  <hyperlinks>
    <hyperlink ref="H64024" r:id="rId1" display="http://vsolj.cetus-net.org/bulletin.html"/>
    <hyperlink ref="H64017" r:id="rId2" display="https://www.aavso.org/ejaavso"/>
    <hyperlink ref="I64024" r:id="rId3" display="http://vsolj.cetus-net.org/bulletin.html"/>
    <hyperlink ref="AQ57675" r:id="rId4" display="http://cdsbib.u-strasbg.fr/cgi-bin/cdsbib?1990RMxAA..21..381G"/>
    <hyperlink ref="H64021" r:id="rId5" display="https://www.aavso.org/ejaavso"/>
    <hyperlink ref="AP5039" r:id="rId6" display="http://cdsbib.u-strasbg.fr/cgi-bin/cdsbib?1990RMxAA..21..381G"/>
    <hyperlink ref="AP5042" r:id="rId7" display="http://cdsbib.u-strasbg.fr/cgi-bin/cdsbib?1990RMxAA..21..381G"/>
    <hyperlink ref="AP5040" r:id="rId8" display="http://cdsbib.u-strasbg.fr/cgi-bin/cdsbib?1990RMxAA..21..381G"/>
    <hyperlink ref="AP5024" r:id="rId9" display="http://cdsbib.u-strasbg.fr/cgi-bin/cdsbib?1990RMxAA..21..381G"/>
    <hyperlink ref="AQ5253" r:id="rId10" display="http://cdsbib.u-strasbg.fr/cgi-bin/cdsbib?1990RMxAA..21..381G"/>
    <hyperlink ref="AQ5257" r:id="rId11" display="http://cdsbib.u-strasbg.fr/cgi-bin/cdsbib?1990RMxAA..21..381G"/>
    <hyperlink ref="AQ64937" r:id="rId12" display="http://cdsbib.u-strasbg.fr/cgi-bin/cdsbib?1990RMxAA..21..381G"/>
    <hyperlink ref="I2145" r:id="rId13" display="http://vsolj.cetus-net.org/bulletin.html"/>
    <hyperlink ref="H2145" r:id="rId14" display="http://vsolj.cetus-net.org/bulletin.html"/>
    <hyperlink ref="AQ67" r:id="rId15" display="http://cdsbib.u-strasbg.fr/cgi-bin/cdsbib?1990RMxAA..21..381G"/>
    <hyperlink ref="AQ66" r:id="rId16" display="http://cdsbib.u-strasbg.fr/cgi-bin/cdsbib?1990RMxAA..21..381G"/>
    <hyperlink ref="AP3315" r:id="rId17" display="http://cdsbib.u-strasbg.fr/cgi-bin/cdsbib?1990RMxAA..21..381G"/>
    <hyperlink ref="AP3333" r:id="rId18" display="http://cdsbib.u-strasbg.fr/cgi-bin/cdsbib?1990RMxAA..21..381G"/>
    <hyperlink ref="AP3334" r:id="rId19" display="http://cdsbib.u-strasbg.fr/cgi-bin/cdsbib?1990RMxAA..21..381G"/>
    <hyperlink ref="AP333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5"/>
  <sheetViews>
    <sheetView topLeftCell="A66" workbookViewId="0">
      <selection activeCell="A76" sqref="A76:C115"/>
    </sheetView>
  </sheetViews>
  <sheetFormatPr defaultRowHeight="12.75" x14ac:dyDescent="0.2"/>
  <cols>
    <col min="1" max="1" width="19.7109375" style="16" customWidth="1"/>
    <col min="2" max="2" width="4.42578125" style="15" customWidth="1"/>
    <col min="3" max="3" width="12.7109375" style="16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6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92" t="s">
        <v>168</v>
      </c>
      <c r="I1" s="93" t="s">
        <v>95</v>
      </c>
      <c r="J1" s="94" t="s">
        <v>169</v>
      </c>
    </row>
    <row r="2" spans="1:16" x14ac:dyDescent="0.2">
      <c r="I2" s="95" t="s">
        <v>106</v>
      </c>
      <c r="J2" s="96" t="s">
        <v>170</v>
      </c>
    </row>
    <row r="3" spans="1:16" x14ac:dyDescent="0.2">
      <c r="A3" s="97" t="s">
        <v>171</v>
      </c>
      <c r="I3" s="95" t="s">
        <v>110</v>
      </c>
      <c r="J3" s="96" t="s">
        <v>28</v>
      </c>
    </row>
    <row r="4" spans="1:16" x14ac:dyDescent="0.2">
      <c r="I4" s="95" t="s">
        <v>123</v>
      </c>
      <c r="J4" s="96" t="s">
        <v>28</v>
      </c>
    </row>
    <row r="5" spans="1:16" ht="13.5" thickBot="1" x14ac:dyDescent="0.25">
      <c r="I5" s="98" t="s">
        <v>152</v>
      </c>
      <c r="J5" s="99" t="s">
        <v>172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 MVS 7.151 </v>
      </c>
      <c r="B11" s="5" t="str">
        <f t="shared" ref="B11:B42" si="1">IF(H11=INT(H11),"I","II")</f>
        <v>II</v>
      </c>
      <c r="C11" s="16">
        <f t="shared" ref="C11:C42" si="2">1*G11</f>
        <v>42839.368000000002</v>
      </c>
      <c r="D11" s="15" t="str">
        <f t="shared" ref="D11:D42" si="3">VLOOKUP(F11,I$1:J$5,2,FALSE)</f>
        <v>vis</v>
      </c>
      <c r="E11" s="100">
        <f>VLOOKUP(C11,Active!C$21:E$968,3,FALSE)</f>
        <v>10711.980666222595</v>
      </c>
      <c r="F11" s="5" t="s">
        <v>152</v>
      </c>
      <c r="G11" s="15" t="str">
        <f t="shared" ref="G11:G42" si="4">MID(I11,3,LEN(I11)-3)</f>
        <v>42839.368</v>
      </c>
      <c r="H11" s="16">
        <f t="shared" ref="H11:H42" si="5">1*K11</f>
        <v>10710.5</v>
      </c>
      <c r="I11" s="101" t="s">
        <v>208</v>
      </c>
      <c r="J11" s="102" t="s">
        <v>209</v>
      </c>
      <c r="K11" s="101">
        <v>10710.5</v>
      </c>
      <c r="L11" s="101" t="s">
        <v>210</v>
      </c>
      <c r="M11" s="102" t="s">
        <v>173</v>
      </c>
      <c r="N11" s="102"/>
      <c r="O11" s="103" t="s">
        <v>206</v>
      </c>
      <c r="P11" s="103" t="s">
        <v>207</v>
      </c>
    </row>
    <row r="12" spans="1:16" ht="12.75" customHeight="1" thickBot="1" x14ac:dyDescent="0.25">
      <c r="A12" s="16" t="str">
        <f t="shared" si="0"/>
        <v> BBS 27 </v>
      </c>
      <c r="B12" s="5" t="str">
        <f t="shared" si="1"/>
        <v>II</v>
      </c>
      <c r="C12" s="16">
        <f t="shared" si="2"/>
        <v>42887.345999999998</v>
      </c>
      <c r="D12" s="15" t="str">
        <f t="shared" si="3"/>
        <v>vis</v>
      </c>
      <c r="E12" s="100">
        <f>VLOOKUP(C12,Active!C$21:E$968,3,FALSE)</f>
        <v>10756.000976230976</v>
      </c>
      <c r="F12" s="5" t="s">
        <v>152</v>
      </c>
      <c r="G12" s="15" t="str">
        <f t="shared" si="4"/>
        <v>42887.346</v>
      </c>
      <c r="H12" s="16">
        <f t="shared" si="5"/>
        <v>10754.5</v>
      </c>
      <c r="I12" s="101" t="s">
        <v>211</v>
      </c>
      <c r="J12" s="102" t="s">
        <v>212</v>
      </c>
      <c r="K12" s="101">
        <v>10754.5</v>
      </c>
      <c r="L12" s="101" t="s">
        <v>213</v>
      </c>
      <c r="M12" s="102" t="s">
        <v>177</v>
      </c>
      <c r="N12" s="102"/>
      <c r="O12" s="103" t="s">
        <v>214</v>
      </c>
      <c r="P12" s="103" t="s">
        <v>215</v>
      </c>
    </row>
    <row r="13" spans="1:16" ht="12.75" customHeight="1" thickBot="1" x14ac:dyDescent="0.25">
      <c r="A13" s="16" t="str">
        <f t="shared" si="0"/>
        <v> BBS 27 </v>
      </c>
      <c r="B13" s="5" t="str">
        <f t="shared" si="1"/>
        <v>II</v>
      </c>
      <c r="C13" s="16">
        <f t="shared" si="2"/>
        <v>42899.336000000003</v>
      </c>
      <c r="D13" s="15" t="str">
        <f t="shared" si="3"/>
        <v>vis</v>
      </c>
      <c r="E13" s="100">
        <f>VLOOKUP(C13,Active!C$21:E$968,3,FALSE)</f>
        <v>10767.001924936649</v>
      </c>
      <c r="F13" s="5" t="s">
        <v>152</v>
      </c>
      <c r="G13" s="15" t="str">
        <f t="shared" si="4"/>
        <v>42899.336</v>
      </c>
      <c r="H13" s="16">
        <f t="shared" si="5"/>
        <v>10765.5</v>
      </c>
      <c r="I13" s="101" t="s">
        <v>216</v>
      </c>
      <c r="J13" s="102" t="s">
        <v>217</v>
      </c>
      <c r="K13" s="101">
        <v>10765.5</v>
      </c>
      <c r="L13" s="101" t="s">
        <v>218</v>
      </c>
      <c r="M13" s="102" t="s">
        <v>177</v>
      </c>
      <c r="N13" s="102"/>
      <c r="O13" s="103" t="s">
        <v>219</v>
      </c>
      <c r="P13" s="103" t="s">
        <v>215</v>
      </c>
    </row>
    <row r="14" spans="1:16" ht="12.75" customHeight="1" thickBot="1" x14ac:dyDescent="0.25">
      <c r="A14" s="16" t="str">
        <f t="shared" si="0"/>
        <v> BBS 27 </v>
      </c>
      <c r="B14" s="5" t="str">
        <f t="shared" si="1"/>
        <v>II</v>
      </c>
      <c r="C14" s="16">
        <f t="shared" si="2"/>
        <v>42899.349000000002</v>
      </c>
      <c r="D14" s="15" t="str">
        <f t="shared" si="3"/>
        <v>vis</v>
      </c>
      <c r="E14" s="100">
        <f>VLOOKUP(C14,Active!C$21:E$968,3,FALSE)</f>
        <v>10767.013852570775</v>
      </c>
      <c r="F14" s="5" t="s">
        <v>152</v>
      </c>
      <c r="G14" s="15" t="str">
        <f t="shared" si="4"/>
        <v>42899.349</v>
      </c>
      <c r="H14" s="16">
        <f t="shared" si="5"/>
        <v>10765.5</v>
      </c>
      <c r="I14" s="101" t="s">
        <v>220</v>
      </c>
      <c r="J14" s="102" t="s">
        <v>221</v>
      </c>
      <c r="K14" s="101">
        <v>10765.5</v>
      </c>
      <c r="L14" s="101" t="s">
        <v>222</v>
      </c>
      <c r="M14" s="102" t="s">
        <v>177</v>
      </c>
      <c r="N14" s="102"/>
      <c r="O14" s="103" t="s">
        <v>214</v>
      </c>
      <c r="P14" s="103" t="s">
        <v>215</v>
      </c>
    </row>
    <row r="15" spans="1:16" ht="12.75" customHeight="1" thickBot="1" x14ac:dyDescent="0.25">
      <c r="A15" s="16" t="str">
        <f t="shared" si="0"/>
        <v> BBS 28 </v>
      </c>
      <c r="B15" s="5" t="str">
        <f t="shared" si="1"/>
        <v>II</v>
      </c>
      <c r="C15" s="16">
        <f t="shared" si="2"/>
        <v>42900.442000000003</v>
      </c>
      <c r="D15" s="15" t="str">
        <f t="shared" si="3"/>
        <v>vis</v>
      </c>
      <c r="E15" s="100">
        <f>VLOOKUP(C15,Active!C$21:E$968,3,FALSE)</f>
        <v>10768.016691347697</v>
      </c>
      <c r="F15" s="5" t="s">
        <v>152</v>
      </c>
      <c r="G15" s="15" t="str">
        <f t="shared" si="4"/>
        <v>42900.442</v>
      </c>
      <c r="H15" s="16">
        <f t="shared" si="5"/>
        <v>10766.5</v>
      </c>
      <c r="I15" s="101" t="s">
        <v>223</v>
      </c>
      <c r="J15" s="102" t="s">
        <v>224</v>
      </c>
      <c r="K15" s="101">
        <v>10766.5</v>
      </c>
      <c r="L15" s="101" t="s">
        <v>225</v>
      </c>
      <c r="M15" s="102" t="s">
        <v>177</v>
      </c>
      <c r="N15" s="102"/>
      <c r="O15" s="103" t="s">
        <v>214</v>
      </c>
      <c r="P15" s="103" t="s">
        <v>226</v>
      </c>
    </row>
    <row r="16" spans="1:16" ht="12.75" customHeight="1" thickBot="1" x14ac:dyDescent="0.25">
      <c r="A16" s="16" t="str">
        <f t="shared" si="0"/>
        <v> BBS 31 </v>
      </c>
      <c r="B16" s="5" t="str">
        <f t="shared" si="1"/>
        <v>II</v>
      </c>
      <c r="C16" s="16">
        <f t="shared" si="2"/>
        <v>43143.470999999998</v>
      </c>
      <c r="D16" s="15" t="str">
        <f t="shared" si="3"/>
        <v>vis</v>
      </c>
      <c r="E16" s="100">
        <f>VLOOKUP(C16,Active!C$21:E$968,3,FALSE)</f>
        <v>10990.998306275953</v>
      </c>
      <c r="F16" s="5" t="s">
        <v>152</v>
      </c>
      <c r="G16" s="15" t="str">
        <f t="shared" si="4"/>
        <v>43143.471</v>
      </c>
      <c r="H16" s="16">
        <f t="shared" si="5"/>
        <v>10989.5</v>
      </c>
      <c r="I16" s="101" t="s">
        <v>227</v>
      </c>
      <c r="J16" s="102" t="s">
        <v>228</v>
      </c>
      <c r="K16" s="101">
        <v>10989.5</v>
      </c>
      <c r="L16" s="101" t="s">
        <v>229</v>
      </c>
      <c r="M16" s="102" t="s">
        <v>177</v>
      </c>
      <c r="N16" s="102"/>
      <c r="O16" s="103" t="s">
        <v>219</v>
      </c>
      <c r="P16" s="103" t="s">
        <v>230</v>
      </c>
    </row>
    <row r="17" spans="1:16" ht="12.75" customHeight="1" thickBot="1" x14ac:dyDescent="0.25">
      <c r="A17" s="16" t="str">
        <f t="shared" si="0"/>
        <v> AN 301.327 </v>
      </c>
      <c r="B17" s="5" t="str">
        <f t="shared" si="1"/>
        <v>II</v>
      </c>
      <c r="C17" s="16">
        <f t="shared" si="2"/>
        <v>43227.406999999999</v>
      </c>
      <c r="D17" s="15" t="str">
        <f t="shared" si="3"/>
        <v>vis</v>
      </c>
      <c r="E17" s="100">
        <f>VLOOKUP(C17,Active!C$21:E$968,3,FALSE)</f>
        <v>11068.010452277536</v>
      </c>
      <c r="F17" s="5" t="s">
        <v>152</v>
      </c>
      <c r="G17" s="15" t="str">
        <f t="shared" si="4"/>
        <v>43227.407</v>
      </c>
      <c r="H17" s="16">
        <f t="shared" si="5"/>
        <v>11066.5</v>
      </c>
      <c r="I17" s="101" t="s">
        <v>231</v>
      </c>
      <c r="J17" s="102" t="s">
        <v>232</v>
      </c>
      <c r="K17" s="101">
        <v>11066.5</v>
      </c>
      <c r="L17" s="101" t="s">
        <v>233</v>
      </c>
      <c r="M17" s="102" t="s">
        <v>177</v>
      </c>
      <c r="N17" s="102"/>
      <c r="O17" s="103" t="s">
        <v>234</v>
      </c>
      <c r="P17" s="103" t="s">
        <v>235</v>
      </c>
    </row>
    <row r="18" spans="1:16" ht="12.75" customHeight="1" thickBot="1" x14ac:dyDescent="0.25">
      <c r="A18" s="16" t="str">
        <f t="shared" si="0"/>
        <v> BBS 33 </v>
      </c>
      <c r="B18" s="5" t="str">
        <f t="shared" si="1"/>
        <v>II</v>
      </c>
      <c r="C18" s="16">
        <f t="shared" si="2"/>
        <v>43239.385999999999</v>
      </c>
      <c r="D18" s="15" t="str">
        <f t="shared" si="3"/>
        <v>vis</v>
      </c>
      <c r="E18" s="100">
        <f>VLOOKUP(C18,Active!C$21:E$968,3,FALSE)</f>
        <v>11079.001308369712</v>
      </c>
      <c r="F18" s="5" t="s">
        <v>152</v>
      </c>
      <c r="G18" s="15" t="str">
        <f t="shared" si="4"/>
        <v>43239.386</v>
      </c>
      <c r="H18" s="16">
        <f t="shared" si="5"/>
        <v>11077.5</v>
      </c>
      <c r="I18" s="101" t="s">
        <v>236</v>
      </c>
      <c r="J18" s="102" t="s">
        <v>237</v>
      </c>
      <c r="K18" s="101">
        <v>11077.5</v>
      </c>
      <c r="L18" s="101" t="s">
        <v>213</v>
      </c>
      <c r="M18" s="102" t="s">
        <v>177</v>
      </c>
      <c r="N18" s="102"/>
      <c r="O18" s="103" t="s">
        <v>214</v>
      </c>
      <c r="P18" s="103" t="s">
        <v>238</v>
      </c>
    </row>
    <row r="19" spans="1:16" ht="12.75" customHeight="1" thickBot="1" x14ac:dyDescent="0.25">
      <c r="A19" s="16" t="str">
        <f t="shared" si="0"/>
        <v> BRNO 23 </v>
      </c>
      <c r="B19" s="5" t="str">
        <f t="shared" si="1"/>
        <v>II</v>
      </c>
      <c r="C19" s="16">
        <f t="shared" si="2"/>
        <v>44481.883000000002</v>
      </c>
      <c r="D19" s="15" t="str">
        <f t="shared" si="3"/>
        <v>vis</v>
      </c>
      <c r="E19" s="100">
        <f>VLOOKUP(C19,Active!C$21:E$968,3,FALSE)</f>
        <v>12219.005125212636</v>
      </c>
      <c r="F19" s="5" t="s">
        <v>152</v>
      </c>
      <c r="G19" s="15" t="str">
        <f t="shared" si="4"/>
        <v>44481.883</v>
      </c>
      <c r="H19" s="16">
        <f t="shared" si="5"/>
        <v>12217.5</v>
      </c>
      <c r="I19" s="101" t="s">
        <v>244</v>
      </c>
      <c r="J19" s="102" t="s">
        <v>245</v>
      </c>
      <c r="K19" s="101">
        <v>12217.5</v>
      </c>
      <c r="L19" s="101" t="s">
        <v>246</v>
      </c>
      <c r="M19" s="102" t="s">
        <v>177</v>
      </c>
      <c r="N19" s="102"/>
      <c r="O19" s="103" t="s">
        <v>247</v>
      </c>
      <c r="P19" s="103" t="s">
        <v>248</v>
      </c>
    </row>
    <row r="20" spans="1:16" ht="12.75" customHeight="1" thickBot="1" x14ac:dyDescent="0.25">
      <c r="A20" s="16" t="str">
        <f t="shared" si="0"/>
        <v> BRNO 26 </v>
      </c>
      <c r="B20" s="5" t="str">
        <f t="shared" si="1"/>
        <v>II</v>
      </c>
      <c r="C20" s="16">
        <f t="shared" si="2"/>
        <v>44633.370999999999</v>
      </c>
      <c r="D20" s="15" t="str">
        <f t="shared" si="3"/>
        <v>vis</v>
      </c>
      <c r="E20" s="100">
        <f>VLOOKUP(C20,Active!C$21:E$968,3,FALSE)</f>
        <v>12357.996928175457</v>
      </c>
      <c r="F20" s="5" t="s">
        <v>152</v>
      </c>
      <c r="G20" s="15" t="str">
        <f t="shared" si="4"/>
        <v>44633.371</v>
      </c>
      <c r="H20" s="16">
        <f t="shared" si="5"/>
        <v>12356.5</v>
      </c>
      <c r="I20" s="101" t="s">
        <v>249</v>
      </c>
      <c r="J20" s="102" t="s">
        <v>250</v>
      </c>
      <c r="K20" s="101">
        <v>12356.5</v>
      </c>
      <c r="L20" s="101" t="s">
        <v>251</v>
      </c>
      <c r="M20" s="102" t="s">
        <v>177</v>
      </c>
      <c r="N20" s="102"/>
      <c r="O20" s="103" t="s">
        <v>247</v>
      </c>
      <c r="P20" s="103" t="s">
        <v>252</v>
      </c>
    </row>
    <row r="21" spans="1:16" ht="12.75" customHeight="1" thickBot="1" x14ac:dyDescent="0.25">
      <c r="A21" s="16" t="str">
        <f t="shared" si="0"/>
        <v> BRNO 26 </v>
      </c>
      <c r="B21" s="5" t="str">
        <f t="shared" si="1"/>
        <v>II</v>
      </c>
      <c r="C21" s="16">
        <f t="shared" si="2"/>
        <v>45022.442999999999</v>
      </c>
      <c r="D21" s="15" t="str">
        <f t="shared" si="3"/>
        <v>vis</v>
      </c>
      <c r="E21" s="100">
        <f>VLOOKUP(C21,Active!C$21:E$968,3,FALSE)</f>
        <v>12714.974502388279</v>
      </c>
      <c r="F21" s="5" t="s">
        <v>152</v>
      </c>
      <c r="G21" s="15" t="str">
        <f t="shared" si="4"/>
        <v>45022.443</v>
      </c>
      <c r="H21" s="16">
        <f t="shared" si="5"/>
        <v>12713.5</v>
      </c>
      <c r="I21" s="101" t="s">
        <v>257</v>
      </c>
      <c r="J21" s="102" t="s">
        <v>258</v>
      </c>
      <c r="K21" s="101">
        <v>12713.5</v>
      </c>
      <c r="L21" s="101" t="s">
        <v>259</v>
      </c>
      <c r="M21" s="102" t="s">
        <v>177</v>
      </c>
      <c r="N21" s="102"/>
      <c r="O21" s="103" t="s">
        <v>260</v>
      </c>
      <c r="P21" s="103" t="s">
        <v>252</v>
      </c>
    </row>
    <row r="22" spans="1:16" ht="12.75" customHeight="1" thickBot="1" x14ac:dyDescent="0.25">
      <c r="A22" s="16" t="str">
        <f t="shared" si="0"/>
        <v> BRNO 27 </v>
      </c>
      <c r="B22" s="5" t="str">
        <f t="shared" si="1"/>
        <v>II</v>
      </c>
      <c r="C22" s="16">
        <f t="shared" si="2"/>
        <v>46112.364000000001</v>
      </c>
      <c r="D22" s="15" t="str">
        <f t="shared" si="3"/>
        <v>vis</v>
      </c>
      <c r="E22" s="100">
        <f>VLOOKUP(C22,Active!C$21:E$968,3,FALSE)</f>
        <v>13714.988265043043</v>
      </c>
      <c r="F22" s="5" t="s">
        <v>152</v>
      </c>
      <c r="G22" s="15" t="str">
        <f t="shared" si="4"/>
        <v>46112.364</v>
      </c>
      <c r="H22" s="16">
        <f t="shared" si="5"/>
        <v>13713.5</v>
      </c>
      <c r="I22" s="101" t="s">
        <v>267</v>
      </c>
      <c r="J22" s="102" t="s">
        <v>268</v>
      </c>
      <c r="K22" s="101">
        <v>13713.5</v>
      </c>
      <c r="L22" s="101" t="s">
        <v>269</v>
      </c>
      <c r="M22" s="102" t="s">
        <v>177</v>
      </c>
      <c r="N22" s="102"/>
      <c r="O22" s="103" t="s">
        <v>270</v>
      </c>
      <c r="P22" s="103" t="s">
        <v>271</v>
      </c>
    </row>
    <row r="23" spans="1:16" ht="12.75" customHeight="1" thickBot="1" x14ac:dyDescent="0.25">
      <c r="A23" s="16" t="str">
        <f t="shared" si="0"/>
        <v> BRNO 27 </v>
      </c>
      <c r="B23" s="5" t="str">
        <f t="shared" si="1"/>
        <v>II</v>
      </c>
      <c r="C23" s="16">
        <f t="shared" si="2"/>
        <v>46112.37</v>
      </c>
      <c r="D23" s="15" t="str">
        <f t="shared" si="3"/>
        <v>vis</v>
      </c>
      <c r="E23" s="100">
        <f>VLOOKUP(C23,Active!C$21:E$968,3,FALSE)</f>
        <v>13714.993770104948</v>
      </c>
      <c r="F23" s="5" t="s">
        <v>152</v>
      </c>
      <c r="G23" s="15" t="str">
        <f t="shared" si="4"/>
        <v>46112.370</v>
      </c>
      <c r="H23" s="16">
        <f t="shared" si="5"/>
        <v>13713.5</v>
      </c>
      <c r="I23" s="101" t="s">
        <v>272</v>
      </c>
      <c r="J23" s="102" t="s">
        <v>273</v>
      </c>
      <c r="K23" s="101">
        <v>13713.5</v>
      </c>
      <c r="L23" s="101" t="s">
        <v>274</v>
      </c>
      <c r="M23" s="102" t="s">
        <v>177</v>
      </c>
      <c r="N23" s="102"/>
      <c r="O23" s="103" t="s">
        <v>275</v>
      </c>
      <c r="P23" s="103" t="s">
        <v>271</v>
      </c>
    </row>
    <row r="24" spans="1:16" ht="12.75" customHeight="1" thickBot="1" x14ac:dyDescent="0.25">
      <c r="A24" s="16" t="str">
        <f t="shared" si="0"/>
        <v> BRNO 27 </v>
      </c>
      <c r="B24" s="5" t="str">
        <f t="shared" si="1"/>
        <v>II</v>
      </c>
      <c r="C24" s="16">
        <f t="shared" si="2"/>
        <v>46112.377999999997</v>
      </c>
      <c r="D24" s="15" t="str">
        <f t="shared" si="3"/>
        <v>vis</v>
      </c>
      <c r="E24" s="100">
        <f>VLOOKUP(C24,Active!C$21:E$968,3,FALSE)</f>
        <v>13715.001110187482</v>
      </c>
      <c r="F24" s="5" t="s">
        <v>152</v>
      </c>
      <c r="G24" s="15" t="str">
        <f t="shared" si="4"/>
        <v>46112.378</v>
      </c>
      <c r="H24" s="16">
        <f t="shared" si="5"/>
        <v>13713.5</v>
      </c>
      <c r="I24" s="101" t="s">
        <v>276</v>
      </c>
      <c r="J24" s="102" t="s">
        <v>277</v>
      </c>
      <c r="K24" s="101">
        <v>13713.5</v>
      </c>
      <c r="L24" s="101" t="s">
        <v>213</v>
      </c>
      <c r="M24" s="102" t="s">
        <v>177</v>
      </c>
      <c r="N24" s="102"/>
      <c r="O24" s="103" t="s">
        <v>278</v>
      </c>
      <c r="P24" s="103" t="s">
        <v>271</v>
      </c>
    </row>
    <row r="25" spans="1:16" ht="12.75" customHeight="1" thickBot="1" x14ac:dyDescent="0.25">
      <c r="A25" s="16" t="str">
        <f t="shared" si="0"/>
        <v> VSSC 64.24 </v>
      </c>
      <c r="B25" s="5" t="str">
        <f t="shared" si="1"/>
        <v>II</v>
      </c>
      <c r="C25" s="16">
        <f t="shared" si="2"/>
        <v>46113.453000000001</v>
      </c>
      <c r="D25" s="15" t="str">
        <f t="shared" si="3"/>
        <v>vis</v>
      </c>
      <c r="E25" s="100">
        <f>VLOOKUP(C25,Active!C$21:E$968,3,FALSE)</f>
        <v>13715.987433778695</v>
      </c>
      <c r="F25" s="5" t="s">
        <v>152</v>
      </c>
      <c r="G25" s="15" t="str">
        <f t="shared" si="4"/>
        <v>46113.453</v>
      </c>
      <c r="H25" s="16">
        <f t="shared" si="5"/>
        <v>13714.5</v>
      </c>
      <c r="I25" s="101" t="s">
        <v>279</v>
      </c>
      <c r="J25" s="102" t="s">
        <v>280</v>
      </c>
      <c r="K25" s="101">
        <v>13714.5</v>
      </c>
      <c r="L25" s="101" t="s">
        <v>281</v>
      </c>
      <c r="M25" s="102" t="s">
        <v>177</v>
      </c>
      <c r="N25" s="102"/>
      <c r="O25" s="103" t="s">
        <v>282</v>
      </c>
      <c r="P25" s="103" t="s">
        <v>283</v>
      </c>
    </row>
    <row r="26" spans="1:16" ht="12.75" customHeight="1" thickBot="1" x14ac:dyDescent="0.25">
      <c r="A26" s="16" t="str">
        <f t="shared" si="0"/>
        <v> VSSC 64.24 </v>
      </c>
      <c r="B26" s="5" t="str">
        <f t="shared" si="1"/>
        <v>II</v>
      </c>
      <c r="C26" s="16">
        <f t="shared" si="2"/>
        <v>46136.347999999998</v>
      </c>
      <c r="D26" s="15" t="str">
        <f t="shared" si="3"/>
        <v>vis</v>
      </c>
      <c r="E26" s="100">
        <f>VLOOKUP(C26,Active!C$21:E$968,3,FALSE)</f>
        <v>13736.993832495646</v>
      </c>
      <c r="F26" s="5" t="s">
        <v>152</v>
      </c>
      <c r="G26" s="15" t="str">
        <f t="shared" si="4"/>
        <v>46136.348</v>
      </c>
      <c r="H26" s="16">
        <f t="shared" si="5"/>
        <v>13735.5</v>
      </c>
      <c r="I26" s="101" t="s">
        <v>284</v>
      </c>
      <c r="J26" s="102" t="s">
        <v>285</v>
      </c>
      <c r="K26" s="101">
        <v>13735.5</v>
      </c>
      <c r="L26" s="101" t="s">
        <v>274</v>
      </c>
      <c r="M26" s="102" t="s">
        <v>177</v>
      </c>
      <c r="N26" s="102"/>
      <c r="O26" s="103" t="s">
        <v>282</v>
      </c>
      <c r="P26" s="103" t="s">
        <v>283</v>
      </c>
    </row>
    <row r="27" spans="1:16" ht="12.75" customHeight="1" thickBot="1" x14ac:dyDescent="0.25">
      <c r="A27" s="16" t="str">
        <f t="shared" si="0"/>
        <v> BBS 80 </v>
      </c>
      <c r="B27" s="5" t="str">
        <f t="shared" si="1"/>
        <v>II</v>
      </c>
      <c r="C27" s="16">
        <f t="shared" si="2"/>
        <v>46561.42</v>
      </c>
      <c r="D27" s="15" t="str">
        <f t="shared" si="3"/>
        <v>vis</v>
      </c>
      <c r="E27" s="100">
        <f>VLOOKUP(C27,Active!C$21:E$968,3,FALSE)</f>
        <v>14127.001778134994</v>
      </c>
      <c r="F27" s="5" t="s">
        <v>152</v>
      </c>
      <c r="G27" s="15" t="str">
        <f t="shared" si="4"/>
        <v>46561.420</v>
      </c>
      <c r="H27" s="16">
        <f t="shared" si="5"/>
        <v>14125.5</v>
      </c>
      <c r="I27" s="101" t="s">
        <v>288</v>
      </c>
      <c r="J27" s="102" t="s">
        <v>289</v>
      </c>
      <c r="K27" s="101">
        <v>14125.5</v>
      </c>
      <c r="L27" s="101" t="s">
        <v>218</v>
      </c>
      <c r="M27" s="102" t="s">
        <v>177</v>
      </c>
      <c r="N27" s="102"/>
      <c r="O27" s="103" t="s">
        <v>290</v>
      </c>
      <c r="P27" s="103" t="s">
        <v>291</v>
      </c>
    </row>
    <row r="28" spans="1:16" ht="12.75" customHeight="1" thickBot="1" x14ac:dyDescent="0.25">
      <c r="A28" s="16" t="str">
        <f t="shared" si="0"/>
        <v>BAVM 52 </v>
      </c>
      <c r="B28" s="5" t="str">
        <f t="shared" si="1"/>
        <v>II</v>
      </c>
      <c r="C28" s="16">
        <f t="shared" si="2"/>
        <v>47555.381999999998</v>
      </c>
      <c r="D28" s="15" t="str">
        <f t="shared" si="3"/>
        <v>vis</v>
      </c>
      <c r="E28" s="100">
        <f>VLOOKUP(C28,Active!C$21:E$968,3,FALSE)</f>
        <v>15038.97216824203</v>
      </c>
      <c r="F28" s="5" t="s">
        <v>152</v>
      </c>
      <c r="G28" s="15" t="str">
        <f t="shared" si="4"/>
        <v>47555.382</v>
      </c>
      <c r="H28" s="16">
        <f t="shared" si="5"/>
        <v>15037.5</v>
      </c>
      <c r="I28" s="101" t="s">
        <v>298</v>
      </c>
      <c r="J28" s="102" t="s">
        <v>299</v>
      </c>
      <c r="K28" s="101">
        <v>15037.5</v>
      </c>
      <c r="L28" s="101" t="s">
        <v>300</v>
      </c>
      <c r="M28" s="102" t="s">
        <v>173</v>
      </c>
      <c r="N28" s="102"/>
      <c r="O28" s="103" t="s">
        <v>301</v>
      </c>
      <c r="P28" s="104" t="s">
        <v>302</v>
      </c>
    </row>
    <row r="29" spans="1:16" ht="12.75" customHeight="1" thickBot="1" x14ac:dyDescent="0.25">
      <c r="A29" s="16" t="str">
        <f t="shared" si="0"/>
        <v>BAVM 52 </v>
      </c>
      <c r="B29" s="5" t="str">
        <f t="shared" si="1"/>
        <v>II</v>
      </c>
      <c r="C29" s="16">
        <f t="shared" si="2"/>
        <v>47592.440999999999</v>
      </c>
      <c r="D29" s="15" t="str">
        <f t="shared" si="3"/>
        <v>vis</v>
      </c>
      <c r="E29" s="100">
        <f>VLOOKUP(C29,Active!C$21:E$968,3,FALSE)</f>
        <v>15072.974183094688</v>
      </c>
      <c r="F29" s="5" t="s">
        <v>152</v>
      </c>
      <c r="G29" s="15" t="str">
        <f t="shared" si="4"/>
        <v>47592.441</v>
      </c>
      <c r="H29" s="16">
        <f t="shared" si="5"/>
        <v>15071.5</v>
      </c>
      <c r="I29" s="101" t="s">
        <v>303</v>
      </c>
      <c r="J29" s="102" t="s">
        <v>304</v>
      </c>
      <c r="K29" s="101">
        <v>15071.5</v>
      </c>
      <c r="L29" s="101" t="s">
        <v>259</v>
      </c>
      <c r="M29" s="102" t="s">
        <v>173</v>
      </c>
      <c r="N29" s="102"/>
      <c r="O29" s="103" t="s">
        <v>301</v>
      </c>
      <c r="P29" s="104" t="s">
        <v>302</v>
      </c>
    </row>
    <row r="30" spans="1:16" ht="12.75" customHeight="1" thickBot="1" x14ac:dyDescent="0.25">
      <c r="A30" s="16" t="str">
        <f t="shared" si="0"/>
        <v>BAVM 56 </v>
      </c>
      <c r="B30" s="5" t="str">
        <f t="shared" si="1"/>
        <v>II</v>
      </c>
      <c r="C30" s="16">
        <f t="shared" si="2"/>
        <v>47860.553</v>
      </c>
      <c r="D30" s="15" t="str">
        <f t="shared" si="3"/>
        <v>vis</v>
      </c>
      <c r="E30" s="100">
        <f>VLOOKUP(C30,Active!C$21:E$968,3,FALSE)</f>
        <v>15318.969709314382</v>
      </c>
      <c r="F30" s="5" t="s">
        <v>152</v>
      </c>
      <c r="G30" s="15" t="str">
        <f t="shared" si="4"/>
        <v>47860.553</v>
      </c>
      <c r="H30" s="16">
        <f t="shared" si="5"/>
        <v>15317.5</v>
      </c>
      <c r="I30" s="101" t="s">
        <v>305</v>
      </c>
      <c r="J30" s="102" t="s">
        <v>306</v>
      </c>
      <c r="K30" s="101">
        <v>15317.5</v>
      </c>
      <c r="L30" s="101" t="s">
        <v>307</v>
      </c>
      <c r="M30" s="102" t="s">
        <v>173</v>
      </c>
      <c r="N30" s="102"/>
      <c r="O30" s="103" t="s">
        <v>301</v>
      </c>
      <c r="P30" s="104" t="s">
        <v>308</v>
      </c>
    </row>
    <row r="31" spans="1:16" ht="12.75" customHeight="1" thickBot="1" x14ac:dyDescent="0.25">
      <c r="A31" s="16" t="str">
        <f t="shared" si="0"/>
        <v> BRNO 31 </v>
      </c>
      <c r="B31" s="5" t="str">
        <f t="shared" si="1"/>
        <v>II</v>
      </c>
      <c r="C31" s="16">
        <f t="shared" si="2"/>
        <v>48272.553</v>
      </c>
      <c r="D31" s="15" t="str">
        <f t="shared" si="3"/>
        <v>vis</v>
      </c>
      <c r="E31" s="100">
        <f>VLOOKUP(C31,Active!C$21:E$968,3,FALSE)</f>
        <v>15696.983960084632</v>
      </c>
      <c r="F31" s="5" t="s">
        <v>152</v>
      </c>
      <c r="G31" s="15" t="str">
        <f t="shared" si="4"/>
        <v>48272.553</v>
      </c>
      <c r="H31" s="16">
        <f t="shared" si="5"/>
        <v>15695.5</v>
      </c>
      <c r="I31" s="101" t="s">
        <v>309</v>
      </c>
      <c r="J31" s="102" t="s">
        <v>310</v>
      </c>
      <c r="K31" s="101">
        <v>15695.5</v>
      </c>
      <c r="L31" s="101" t="s">
        <v>311</v>
      </c>
      <c r="M31" s="102" t="s">
        <v>177</v>
      </c>
      <c r="N31" s="102"/>
      <c r="O31" s="103" t="s">
        <v>312</v>
      </c>
      <c r="P31" s="103" t="s">
        <v>313</v>
      </c>
    </row>
    <row r="32" spans="1:16" ht="12.75" customHeight="1" thickBot="1" x14ac:dyDescent="0.25">
      <c r="A32" s="16" t="str">
        <f t="shared" si="0"/>
        <v> BBS 110 </v>
      </c>
      <c r="B32" s="5" t="str">
        <f t="shared" si="1"/>
        <v>II</v>
      </c>
      <c r="C32" s="16">
        <f t="shared" si="2"/>
        <v>49787.502999999997</v>
      </c>
      <c r="D32" s="15" t="str">
        <f t="shared" si="3"/>
        <v>vis</v>
      </c>
      <c r="E32" s="100">
        <f>VLOOKUP(C32,Active!C$21:E$968,3,FALSE)</f>
        <v>17086.966215435092</v>
      </c>
      <c r="F32" s="5" t="s">
        <v>152</v>
      </c>
      <c r="G32" s="15" t="str">
        <f t="shared" si="4"/>
        <v>49787.503</v>
      </c>
      <c r="H32" s="16">
        <f t="shared" si="5"/>
        <v>17085.5</v>
      </c>
      <c r="I32" s="101" t="s">
        <v>316</v>
      </c>
      <c r="J32" s="102" t="s">
        <v>317</v>
      </c>
      <c r="K32" s="101">
        <v>17085.5</v>
      </c>
      <c r="L32" s="101" t="s">
        <v>318</v>
      </c>
      <c r="M32" s="102" t="s">
        <v>319</v>
      </c>
      <c r="N32" s="102" t="s">
        <v>320</v>
      </c>
      <c r="O32" s="103" t="s">
        <v>290</v>
      </c>
      <c r="P32" s="103" t="s">
        <v>321</v>
      </c>
    </row>
    <row r="33" spans="1:16" ht="12.75" customHeight="1" thickBot="1" x14ac:dyDescent="0.25">
      <c r="A33" s="16" t="str">
        <f t="shared" si="0"/>
        <v>BAVM 91 </v>
      </c>
      <c r="B33" s="5" t="str">
        <f t="shared" si="1"/>
        <v>II</v>
      </c>
      <c r="C33" s="16">
        <f t="shared" si="2"/>
        <v>49810.3943</v>
      </c>
      <c r="D33" s="15" t="str">
        <f t="shared" si="3"/>
        <v>vis</v>
      </c>
      <c r="E33" s="100">
        <f>VLOOKUP(C33,Active!C$21:E$968,3,FALSE)</f>
        <v>17107.969219363873</v>
      </c>
      <c r="F33" s="5" t="s">
        <v>152</v>
      </c>
      <c r="G33" s="15" t="str">
        <f t="shared" si="4"/>
        <v>49810.3943</v>
      </c>
      <c r="H33" s="16">
        <f t="shared" si="5"/>
        <v>17106.5</v>
      </c>
      <c r="I33" s="101" t="s">
        <v>325</v>
      </c>
      <c r="J33" s="102" t="s">
        <v>326</v>
      </c>
      <c r="K33" s="101">
        <v>17106.5</v>
      </c>
      <c r="L33" s="101" t="s">
        <v>327</v>
      </c>
      <c r="M33" s="102" t="s">
        <v>319</v>
      </c>
      <c r="N33" s="102" t="s">
        <v>328</v>
      </c>
      <c r="O33" s="103" t="s">
        <v>329</v>
      </c>
      <c r="P33" s="104" t="s">
        <v>330</v>
      </c>
    </row>
    <row r="34" spans="1:16" ht="12.75" customHeight="1" thickBot="1" x14ac:dyDescent="0.25">
      <c r="A34" s="16" t="str">
        <f t="shared" si="0"/>
        <v> BBS 112 </v>
      </c>
      <c r="B34" s="5" t="str">
        <f t="shared" si="1"/>
        <v>II</v>
      </c>
      <c r="C34" s="16">
        <f t="shared" si="2"/>
        <v>50210.383399999999</v>
      </c>
      <c r="D34" s="15" t="str">
        <f t="shared" si="3"/>
        <v>vis</v>
      </c>
      <c r="E34" s="100">
        <f>VLOOKUP(C34,Active!C$21:E$968,3,FALSE)</f>
        <v>17474.96334546282</v>
      </c>
      <c r="F34" s="5" t="s">
        <v>152</v>
      </c>
      <c r="G34" s="15" t="str">
        <f t="shared" si="4"/>
        <v>50210.3834</v>
      </c>
      <c r="H34" s="16">
        <f t="shared" si="5"/>
        <v>17473.5</v>
      </c>
      <c r="I34" s="101" t="s">
        <v>342</v>
      </c>
      <c r="J34" s="102" t="s">
        <v>343</v>
      </c>
      <c r="K34" s="101">
        <v>17473.5</v>
      </c>
      <c r="L34" s="101" t="s">
        <v>344</v>
      </c>
      <c r="M34" s="102" t="s">
        <v>319</v>
      </c>
      <c r="N34" s="102" t="s">
        <v>320</v>
      </c>
      <c r="O34" s="103" t="s">
        <v>345</v>
      </c>
      <c r="P34" s="103" t="s">
        <v>346</v>
      </c>
    </row>
    <row r="35" spans="1:16" ht="12.75" customHeight="1" thickBot="1" x14ac:dyDescent="0.25">
      <c r="A35" s="16" t="str">
        <f t="shared" si="0"/>
        <v>IBVS 4888 </v>
      </c>
      <c r="B35" s="5" t="str">
        <f t="shared" si="1"/>
        <v>II</v>
      </c>
      <c r="C35" s="16">
        <f t="shared" si="2"/>
        <v>50888.300499999998</v>
      </c>
      <c r="D35" s="15" t="str">
        <f t="shared" si="3"/>
        <v>vis</v>
      </c>
      <c r="E35" s="100">
        <f>VLOOKUP(C35,Active!C$21:E$968,3,FALSE)</f>
        <v>18096.95927905709</v>
      </c>
      <c r="F35" s="5" t="s">
        <v>152</v>
      </c>
      <c r="G35" s="15" t="str">
        <f t="shared" si="4"/>
        <v>50888.3005</v>
      </c>
      <c r="H35" s="16">
        <f t="shared" si="5"/>
        <v>18095.5</v>
      </c>
      <c r="I35" s="101" t="s">
        <v>351</v>
      </c>
      <c r="J35" s="102" t="s">
        <v>352</v>
      </c>
      <c r="K35" s="101">
        <v>18095.5</v>
      </c>
      <c r="L35" s="101" t="s">
        <v>353</v>
      </c>
      <c r="M35" s="102" t="s">
        <v>319</v>
      </c>
      <c r="N35" s="102" t="s">
        <v>320</v>
      </c>
      <c r="O35" s="103" t="s">
        <v>275</v>
      </c>
      <c r="P35" s="104" t="s">
        <v>354</v>
      </c>
    </row>
    <row r="36" spans="1:16" ht="12.75" customHeight="1" thickBot="1" x14ac:dyDescent="0.25">
      <c r="A36" s="16" t="str">
        <f t="shared" si="0"/>
        <v> BBS 117 </v>
      </c>
      <c r="B36" s="5" t="str">
        <f t="shared" si="1"/>
        <v>II</v>
      </c>
      <c r="C36" s="16">
        <f t="shared" si="2"/>
        <v>50901.378499999999</v>
      </c>
      <c r="D36" s="15" t="str">
        <f t="shared" si="3"/>
        <v>vis</v>
      </c>
      <c r="E36" s="100">
        <f>VLOOKUP(C36,Active!C$21:E$968,3,FALSE)</f>
        <v>18108.958478988097</v>
      </c>
      <c r="F36" s="5" t="s">
        <v>152</v>
      </c>
      <c r="G36" s="15" t="str">
        <f t="shared" si="4"/>
        <v>50901.3785</v>
      </c>
      <c r="H36" s="16">
        <f t="shared" si="5"/>
        <v>18107.5</v>
      </c>
      <c r="I36" s="101" t="s">
        <v>355</v>
      </c>
      <c r="J36" s="102" t="s">
        <v>356</v>
      </c>
      <c r="K36" s="101">
        <v>18107.5</v>
      </c>
      <c r="L36" s="101" t="s">
        <v>357</v>
      </c>
      <c r="M36" s="102" t="s">
        <v>319</v>
      </c>
      <c r="N36" s="102" t="s">
        <v>320</v>
      </c>
      <c r="O36" s="103" t="s">
        <v>358</v>
      </c>
      <c r="P36" s="103" t="s">
        <v>359</v>
      </c>
    </row>
    <row r="37" spans="1:16" ht="12.75" customHeight="1" thickBot="1" x14ac:dyDescent="0.25">
      <c r="A37" s="16" t="str">
        <f t="shared" si="0"/>
        <v>IBVS 5263 </v>
      </c>
      <c r="B37" s="5" t="str">
        <f t="shared" si="1"/>
        <v>II</v>
      </c>
      <c r="C37" s="16">
        <f t="shared" si="2"/>
        <v>51241.428999999996</v>
      </c>
      <c r="D37" s="15" t="str">
        <f t="shared" si="3"/>
        <v>vis</v>
      </c>
      <c r="E37" s="100">
        <f>VLOOKUP(C37,Active!C$21:E$968,3,FALSE)</f>
        <v>18420.95832117632</v>
      </c>
      <c r="F37" s="5" t="s">
        <v>152</v>
      </c>
      <c r="G37" s="15" t="str">
        <f t="shared" si="4"/>
        <v>51241.4290</v>
      </c>
      <c r="H37" s="16">
        <f t="shared" si="5"/>
        <v>18419.5</v>
      </c>
      <c r="I37" s="101" t="s">
        <v>360</v>
      </c>
      <c r="J37" s="102" t="s">
        <v>361</v>
      </c>
      <c r="K37" s="101">
        <v>18419.5</v>
      </c>
      <c r="L37" s="101" t="s">
        <v>362</v>
      </c>
      <c r="M37" s="102" t="s">
        <v>319</v>
      </c>
      <c r="N37" s="102" t="s">
        <v>320</v>
      </c>
      <c r="O37" s="103" t="s">
        <v>275</v>
      </c>
      <c r="P37" s="104" t="s">
        <v>363</v>
      </c>
    </row>
    <row r="38" spans="1:16" ht="12.75" customHeight="1" thickBot="1" x14ac:dyDescent="0.25">
      <c r="A38" s="16" t="str">
        <f t="shared" si="0"/>
        <v>BAVM 172 </v>
      </c>
      <c r="B38" s="5" t="str">
        <f t="shared" si="1"/>
        <v>II</v>
      </c>
      <c r="C38" s="16">
        <f t="shared" si="2"/>
        <v>52648.483200000002</v>
      </c>
      <c r="D38" s="15" t="str">
        <f t="shared" si="3"/>
        <v>vis</v>
      </c>
      <c r="E38" s="100">
        <f>VLOOKUP(C38,Active!C$21:E$968,3,FALSE)</f>
        <v>19711.945066822278</v>
      </c>
      <c r="F38" s="5" t="s">
        <v>152</v>
      </c>
      <c r="G38" s="15" t="str">
        <f t="shared" si="4"/>
        <v>52648.4832</v>
      </c>
      <c r="H38" s="16">
        <f t="shared" si="5"/>
        <v>19710.5</v>
      </c>
      <c r="I38" s="101" t="s">
        <v>389</v>
      </c>
      <c r="J38" s="102" t="s">
        <v>390</v>
      </c>
      <c r="K38" s="101">
        <v>19710.5</v>
      </c>
      <c r="L38" s="101" t="s">
        <v>391</v>
      </c>
      <c r="M38" s="102" t="s">
        <v>319</v>
      </c>
      <c r="N38" s="102" t="s">
        <v>392</v>
      </c>
      <c r="O38" s="103" t="s">
        <v>393</v>
      </c>
      <c r="P38" s="104" t="s">
        <v>394</v>
      </c>
    </row>
    <row r="39" spans="1:16" ht="12.75" customHeight="1" thickBot="1" x14ac:dyDescent="0.25">
      <c r="A39" s="16" t="str">
        <f t="shared" si="0"/>
        <v>BAVM 172 </v>
      </c>
      <c r="B39" s="5" t="str">
        <f t="shared" si="1"/>
        <v>II</v>
      </c>
      <c r="C39" s="16">
        <f t="shared" si="2"/>
        <v>52719.329299999998</v>
      </c>
      <c r="D39" s="15" t="str">
        <f t="shared" si="3"/>
        <v>vis</v>
      </c>
      <c r="E39" s="100">
        <f>VLOOKUP(C39,Active!C$21:E$968,3,FALSE)</f>
        <v>19776.947094520077</v>
      </c>
      <c r="F39" s="5" t="s">
        <v>152</v>
      </c>
      <c r="G39" s="15" t="str">
        <f t="shared" si="4"/>
        <v>52719.3293</v>
      </c>
      <c r="H39" s="16">
        <f t="shared" si="5"/>
        <v>19775.5</v>
      </c>
      <c r="I39" s="101" t="s">
        <v>399</v>
      </c>
      <c r="J39" s="102" t="s">
        <v>400</v>
      </c>
      <c r="K39" s="101" t="s">
        <v>401</v>
      </c>
      <c r="L39" s="101" t="s">
        <v>402</v>
      </c>
      <c r="M39" s="102" t="s">
        <v>319</v>
      </c>
      <c r="N39" s="102" t="s">
        <v>328</v>
      </c>
      <c r="O39" s="103" t="s">
        <v>403</v>
      </c>
      <c r="P39" s="104" t="s">
        <v>394</v>
      </c>
    </row>
    <row r="40" spans="1:16" ht="12.75" customHeight="1" thickBot="1" x14ac:dyDescent="0.25">
      <c r="A40" s="16" t="str">
        <f t="shared" si="0"/>
        <v>IBVS 5602 </v>
      </c>
      <c r="B40" s="5" t="str">
        <f t="shared" si="1"/>
        <v>II</v>
      </c>
      <c r="C40" s="16">
        <f t="shared" si="2"/>
        <v>53087.714099999997</v>
      </c>
      <c r="D40" s="15" t="str">
        <f t="shared" si="3"/>
        <v>vis</v>
      </c>
      <c r="E40" s="100">
        <f>VLOOKUP(C40,Active!C$21:E$968,3,FALSE)</f>
        <v>20114.943949294709</v>
      </c>
      <c r="F40" s="5" t="s">
        <v>152</v>
      </c>
      <c r="G40" s="15" t="str">
        <f t="shared" si="4"/>
        <v>53087.7141</v>
      </c>
      <c r="H40" s="16">
        <f t="shared" si="5"/>
        <v>20113.5</v>
      </c>
      <c r="I40" s="101" t="s">
        <v>418</v>
      </c>
      <c r="J40" s="102" t="s">
        <v>419</v>
      </c>
      <c r="K40" s="101" t="s">
        <v>420</v>
      </c>
      <c r="L40" s="101" t="s">
        <v>421</v>
      </c>
      <c r="M40" s="102" t="s">
        <v>319</v>
      </c>
      <c r="N40" s="102" t="s">
        <v>320</v>
      </c>
      <c r="O40" s="103" t="s">
        <v>422</v>
      </c>
      <c r="P40" s="104" t="s">
        <v>423</v>
      </c>
    </row>
    <row r="41" spans="1:16" ht="12.75" customHeight="1" thickBot="1" x14ac:dyDescent="0.25">
      <c r="A41" s="16" t="str">
        <f t="shared" si="0"/>
        <v>BAVM 172 </v>
      </c>
      <c r="B41" s="5" t="str">
        <f t="shared" si="1"/>
        <v>II</v>
      </c>
      <c r="C41" s="16">
        <f t="shared" si="2"/>
        <v>53095.343200000003</v>
      </c>
      <c r="D41" s="15" t="str">
        <f t="shared" si="3"/>
        <v>vis</v>
      </c>
      <c r="E41" s="100">
        <f>VLOOKUP(C41,Active!C$21:E$968,3,FALSE)</f>
        <v>20121.943727257218</v>
      </c>
      <c r="F41" s="5" t="s">
        <v>152</v>
      </c>
      <c r="G41" s="15" t="str">
        <f t="shared" si="4"/>
        <v>53095.3432</v>
      </c>
      <c r="H41" s="16">
        <f t="shared" si="5"/>
        <v>20120.5</v>
      </c>
      <c r="I41" s="101" t="s">
        <v>424</v>
      </c>
      <c r="J41" s="102" t="s">
        <v>425</v>
      </c>
      <c r="K41" s="101" t="s">
        <v>426</v>
      </c>
      <c r="L41" s="101" t="s">
        <v>427</v>
      </c>
      <c r="M41" s="102" t="s">
        <v>319</v>
      </c>
      <c r="N41" s="102" t="s">
        <v>392</v>
      </c>
      <c r="O41" s="103" t="s">
        <v>428</v>
      </c>
      <c r="P41" s="104" t="s">
        <v>394</v>
      </c>
    </row>
    <row r="42" spans="1:16" ht="12.75" customHeight="1" thickBot="1" x14ac:dyDescent="0.25">
      <c r="A42" s="16" t="str">
        <f t="shared" si="0"/>
        <v>OEJV 0074 </v>
      </c>
      <c r="B42" s="5" t="str">
        <f t="shared" si="1"/>
        <v>II</v>
      </c>
      <c r="C42" s="16">
        <f t="shared" si="2"/>
        <v>53095.345260000002</v>
      </c>
      <c r="D42" s="15" t="str">
        <f t="shared" si="3"/>
        <v>vis</v>
      </c>
      <c r="E42" s="100">
        <f>VLOOKUP(C42,Active!C$21:E$968,3,FALSE)</f>
        <v>20121.945617328467</v>
      </c>
      <c r="F42" s="5" t="s">
        <v>152</v>
      </c>
      <c r="G42" s="15" t="str">
        <f t="shared" si="4"/>
        <v>53095.34526</v>
      </c>
      <c r="H42" s="16">
        <f t="shared" si="5"/>
        <v>20120.5</v>
      </c>
      <c r="I42" s="101" t="s">
        <v>429</v>
      </c>
      <c r="J42" s="102" t="s">
        <v>430</v>
      </c>
      <c r="K42" s="101" t="s">
        <v>426</v>
      </c>
      <c r="L42" s="101" t="s">
        <v>431</v>
      </c>
      <c r="M42" s="102" t="s">
        <v>334</v>
      </c>
      <c r="N42" s="102" t="s">
        <v>95</v>
      </c>
      <c r="O42" s="103" t="s">
        <v>432</v>
      </c>
      <c r="P42" s="104" t="s">
        <v>433</v>
      </c>
    </row>
    <row r="43" spans="1:16" ht="12.75" customHeight="1" thickBot="1" x14ac:dyDescent="0.25">
      <c r="A43" s="16" t="str">
        <f t="shared" ref="A43:A74" si="6">P43</f>
        <v>IBVS 5603 </v>
      </c>
      <c r="B43" s="5" t="str">
        <f t="shared" ref="B43:B74" si="7">IF(H43=INT(H43),"I","II")</f>
        <v>II</v>
      </c>
      <c r="C43" s="16">
        <f t="shared" ref="C43:C74" si="8">1*G43</f>
        <v>53111.6921</v>
      </c>
      <c r="D43" s="15" t="str">
        <f t="shared" ref="D43:D74" si="9">VLOOKUP(F43,I$1:J$5,2,FALSE)</f>
        <v>vis</v>
      </c>
      <c r="E43" s="100">
        <f>VLOOKUP(C43,Active!C$21:E$968,3,FALSE)</f>
        <v>20136.944011685413</v>
      </c>
      <c r="F43" s="5" t="s">
        <v>152</v>
      </c>
      <c r="G43" s="15" t="str">
        <f t="shared" ref="G43:G74" si="10">MID(I43,3,LEN(I43)-3)</f>
        <v>53111.6921</v>
      </c>
      <c r="H43" s="16">
        <f t="shared" ref="H43:H74" si="11">1*K43</f>
        <v>20135.5</v>
      </c>
      <c r="I43" s="101" t="s">
        <v>434</v>
      </c>
      <c r="J43" s="102" t="s">
        <v>435</v>
      </c>
      <c r="K43" s="101" t="s">
        <v>436</v>
      </c>
      <c r="L43" s="101" t="s">
        <v>421</v>
      </c>
      <c r="M43" s="102" t="s">
        <v>319</v>
      </c>
      <c r="N43" s="102" t="s">
        <v>320</v>
      </c>
      <c r="O43" s="103" t="s">
        <v>383</v>
      </c>
      <c r="P43" s="104" t="s">
        <v>437</v>
      </c>
    </row>
    <row r="44" spans="1:16" ht="12.75" customHeight="1" thickBot="1" x14ac:dyDescent="0.25">
      <c r="A44" s="16" t="str">
        <f t="shared" si="6"/>
        <v>BAVM 178 </v>
      </c>
      <c r="B44" s="5" t="str">
        <f t="shared" si="7"/>
        <v>II</v>
      </c>
      <c r="C44" s="16">
        <f t="shared" si="8"/>
        <v>53387.437100000003</v>
      </c>
      <c r="D44" s="15" t="str">
        <f t="shared" si="9"/>
        <v>CCD</v>
      </c>
      <c r="E44" s="100">
        <f>VLOOKUP(C44,Active!C$21:E$968,3,FALSE)</f>
        <v>20389.942894157848</v>
      </c>
      <c r="F44" s="5" t="str">
        <f>LEFT(M44,1)</f>
        <v>C</v>
      </c>
      <c r="G44" s="15" t="str">
        <f t="shared" si="10"/>
        <v>53387.4371</v>
      </c>
      <c r="H44" s="16">
        <f t="shared" si="11"/>
        <v>20388.5</v>
      </c>
      <c r="I44" s="101" t="s">
        <v>449</v>
      </c>
      <c r="J44" s="102" t="s">
        <v>450</v>
      </c>
      <c r="K44" s="101" t="s">
        <v>451</v>
      </c>
      <c r="L44" s="101" t="s">
        <v>452</v>
      </c>
      <c r="M44" s="102" t="s">
        <v>334</v>
      </c>
      <c r="N44" s="102" t="s">
        <v>328</v>
      </c>
      <c r="O44" s="103" t="s">
        <v>403</v>
      </c>
      <c r="P44" s="104" t="s">
        <v>453</v>
      </c>
    </row>
    <row r="45" spans="1:16" ht="12.75" customHeight="1" thickBot="1" x14ac:dyDescent="0.25">
      <c r="A45" s="16" t="str">
        <f t="shared" si="6"/>
        <v>IBVS 5843 </v>
      </c>
      <c r="B45" s="5" t="str">
        <f t="shared" si="7"/>
        <v>II</v>
      </c>
      <c r="C45" s="16">
        <f t="shared" si="8"/>
        <v>53390.758500000004</v>
      </c>
      <c r="D45" s="15" t="str">
        <f t="shared" si="9"/>
        <v>CCD</v>
      </c>
      <c r="E45" s="100">
        <f>VLOOKUP(C45,Active!C$21:E$968,3,FALSE)</f>
        <v>20392.990312926071</v>
      </c>
      <c r="F45" s="5" t="str">
        <f>LEFT(M45,1)</f>
        <v>C</v>
      </c>
      <c r="G45" s="15" t="str">
        <f t="shared" si="10"/>
        <v>53390.7585</v>
      </c>
      <c r="H45" s="16">
        <f t="shared" si="11"/>
        <v>20391.5</v>
      </c>
      <c r="I45" s="101" t="s">
        <v>454</v>
      </c>
      <c r="J45" s="102" t="s">
        <v>455</v>
      </c>
      <c r="K45" s="101" t="s">
        <v>456</v>
      </c>
      <c r="L45" s="101" t="s">
        <v>457</v>
      </c>
      <c r="M45" s="102" t="s">
        <v>334</v>
      </c>
      <c r="N45" s="102" t="s">
        <v>392</v>
      </c>
      <c r="O45" s="103" t="s">
        <v>458</v>
      </c>
      <c r="P45" s="104" t="s">
        <v>459</v>
      </c>
    </row>
    <row r="46" spans="1:16" ht="12.75" customHeight="1" thickBot="1" x14ac:dyDescent="0.25">
      <c r="A46" s="16" t="str">
        <f t="shared" si="6"/>
        <v>OEJV 0003 </v>
      </c>
      <c r="B46" s="5" t="str">
        <f t="shared" si="7"/>
        <v>II</v>
      </c>
      <c r="C46" s="16">
        <f t="shared" si="8"/>
        <v>53448.463000000003</v>
      </c>
      <c r="D46" s="15" t="str">
        <f t="shared" si="9"/>
        <v>vis</v>
      </c>
      <c r="E46" s="100">
        <f>VLOOKUP(C46,Active!C$21:E$968,3,FALSE)</f>
        <v>20445.934787036684</v>
      </c>
      <c r="F46" s="5" t="str">
        <f>LEFT(M46,1)</f>
        <v>V</v>
      </c>
      <c r="G46" s="15" t="str">
        <f t="shared" si="10"/>
        <v>53448.463</v>
      </c>
      <c r="H46" s="16">
        <f t="shared" si="11"/>
        <v>20444.5</v>
      </c>
      <c r="I46" s="101" t="s">
        <v>460</v>
      </c>
      <c r="J46" s="102" t="s">
        <v>461</v>
      </c>
      <c r="K46" s="101" t="s">
        <v>462</v>
      </c>
      <c r="L46" s="101" t="s">
        <v>463</v>
      </c>
      <c r="M46" s="102" t="s">
        <v>177</v>
      </c>
      <c r="N46" s="102"/>
      <c r="O46" s="103" t="s">
        <v>219</v>
      </c>
      <c r="P46" s="104" t="s">
        <v>464</v>
      </c>
    </row>
    <row r="47" spans="1:16" ht="12.75" customHeight="1" thickBot="1" x14ac:dyDescent="0.25">
      <c r="A47" s="16" t="str">
        <f t="shared" si="6"/>
        <v>BAVM 173 </v>
      </c>
      <c r="B47" s="5" t="str">
        <f t="shared" si="7"/>
        <v>II</v>
      </c>
      <c r="C47" s="16">
        <f t="shared" si="8"/>
        <v>53483.349099999999</v>
      </c>
      <c r="D47" s="15" t="str">
        <f t="shared" si="9"/>
        <v>PE</v>
      </c>
      <c r="E47" s="100">
        <f>VLOOKUP(C47,Active!C$21:E$968,3,FALSE)</f>
        <v>20477.943143720651</v>
      </c>
      <c r="F47" s="5" t="str">
        <f>LEFT(M47,1)</f>
        <v>E</v>
      </c>
      <c r="G47" s="15" t="str">
        <f t="shared" si="10"/>
        <v>53483.3491</v>
      </c>
      <c r="H47" s="16">
        <f t="shared" si="11"/>
        <v>20476.5</v>
      </c>
      <c r="I47" s="101" t="s">
        <v>465</v>
      </c>
      <c r="J47" s="102" t="s">
        <v>466</v>
      </c>
      <c r="K47" s="101" t="s">
        <v>467</v>
      </c>
      <c r="L47" s="101" t="s">
        <v>468</v>
      </c>
      <c r="M47" s="102" t="s">
        <v>319</v>
      </c>
      <c r="N47" s="102" t="s">
        <v>392</v>
      </c>
      <c r="O47" s="103" t="s">
        <v>428</v>
      </c>
      <c r="P47" s="104" t="s">
        <v>469</v>
      </c>
    </row>
    <row r="48" spans="1:16" ht="12.75" customHeight="1" thickBot="1" x14ac:dyDescent="0.25">
      <c r="A48" s="16" t="str">
        <f t="shared" si="6"/>
        <v>BAVM 178 </v>
      </c>
      <c r="B48" s="5" t="str">
        <f t="shared" si="7"/>
        <v>II</v>
      </c>
      <c r="C48" s="16">
        <f t="shared" si="8"/>
        <v>53752.543299999998</v>
      </c>
      <c r="D48" s="15" t="str">
        <f t="shared" si="9"/>
        <v>vis</v>
      </c>
      <c r="E48" s="100">
        <f>VLOOKUP(C48,Active!C$21:E$968,3,FALSE)</f>
        <v>20724.931599605836</v>
      </c>
      <c r="F48" s="5" t="s">
        <v>152</v>
      </c>
      <c r="G48" s="15" t="str">
        <f t="shared" si="10"/>
        <v>53752.5433</v>
      </c>
      <c r="H48" s="16">
        <f t="shared" si="11"/>
        <v>20723.5</v>
      </c>
      <c r="I48" s="101" t="s">
        <v>475</v>
      </c>
      <c r="J48" s="102" t="s">
        <v>476</v>
      </c>
      <c r="K48" s="101" t="s">
        <v>477</v>
      </c>
      <c r="L48" s="101" t="s">
        <v>478</v>
      </c>
      <c r="M48" s="102" t="s">
        <v>334</v>
      </c>
      <c r="N48" s="102" t="s">
        <v>392</v>
      </c>
      <c r="O48" s="103" t="s">
        <v>428</v>
      </c>
      <c r="P48" s="104" t="s">
        <v>453</v>
      </c>
    </row>
    <row r="49" spans="1:16" ht="12.75" customHeight="1" thickBot="1" x14ac:dyDescent="0.25">
      <c r="A49" s="16" t="str">
        <f t="shared" si="6"/>
        <v>OEJV 0074 </v>
      </c>
      <c r="B49" s="5" t="str">
        <f t="shared" si="7"/>
        <v>II</v>
      </c>
      <c r="C49" s="16">
        <f t="shared" si="8"/>
        <v>53859.365839999999</v>
      </c>
      <c r="D49" s="15" t="str">
        <f t="shared" si="9"/>
        <v>vis</v>
      </c>
      <c r="E49" s="100">
        <f>VLOOKUP(C49,Active!C$21:E$968,3,FALSE)</f>
        <v>20822.942382187088</v>
      </c>
      <c r="F49" s="5" t="s">
        <v>152</v>
      </c>
      <c r="G49" s="15" t="str">
        <f t="shared" si="10"/>
        <v>53859.36584</v>
      </c>
      <c r="H49" s="16">
        <f t="shared" si="11"/>
        <v>20821.5</v>
      </c>
      <c r="I49" s="101" t="s">
        <v>479</v>
      </c>
      <c r="J49" s="102" t="s">
        <v>480</v>
      </c>
      <c r="K49" s="101" t="s">
        <v>481</v>
      </c>
      <c r="L49" s="101" t="s">
        <v>482</v>
      </c>
      <c r="M49" s="102" t="s">
        <v>334</v>
      </c>
      <c r="N49" s="102" t="s">
        <v>95</v>
      </c>
      <c r="O49" s="103" t="s">
        <v>432</v>
      </c>
      <c r="P49" s="104" t="s">
        <v>433</v>
      </c>
    </row>
    <row r="50" spans="1:16" ht="12.75" customHeight="1" thickBot="1" x14ac:dyDescent="0.25">
      <c r="A50" s="16" t="str">
        <f t="shared" si="6"/>
        <v>IBVS 5893 </v>
      </c>
      <c r="B50" s="5" t="str">
        <f t="shared" si="7"/>
        <v>II</v>
      </c>
      <c r="C50" s="16">
        <f t="shared" si="8"/>
        <v>54067.5363</v>
      </c>
      <c r="D50" s="15" t="str">
        <f t="shared" si="9"/>
        <v>vis</v>
      </c>
      <c r="E50" s="100">
        <f>VLOOKUP(C50,Active!C$21:E$968,3,FALSE)</f>
        <v>21013.940927015723</v>
      </c>
      <c r="F50" s="5" t="s">
        <v>152</v>
      </c>
      <c r="G50" s="15" t="str">
        <f t="shared" si="10"/>
        <v>54067.5363</v>
      </c>
      <c r="H50" s="16">
        <f t="shared" si="11"/>
        <v>21012.5</v>
      </c>
      <c r="I50" s="101" t="s">
        <v>483</v>
      </c>
      <c r="J50" s="102" t="s">
        <v>484</v>
      </c>
      <c r="K50" s="101" t="s">
        <v>485</v>
      </c>
      <c r="L50" s="101" t="s">
        <v>486</v>
      </c>
      <c r="M50" s="102" t="s">
        <v>334</v>
      </c>
      <c r="N50" s="102" t="s">
        <v>95</v>
      </c>
      <c r="O50" s="103" t="s">
        <v>487</v>
      </c>
      <c r="P50" s="104" t="s">
        <v>488</v>
      </c>
    </row>
    <row r="51" spans="1:16" ht="12.75" customHeight="1" thickBot="1" x14ac:dyDescent="0.25">
      <c r="A51" s="16" t="str">
        <f t="shared" si="6"/>
        <v>BAVM 186 </v>
      </c>
      <c r="B51" s="5" t="str">
        <f t="shared" si="7"/>
        <v>II</v>
      </c>
      <c r="C51" s="16">
        <f t="shared" si="8"/>
        <v>54199.415200000003</v>
      </c>
      <c r="D51" s="15" t="str">
        <f t="shared" si="9"/>
        <v>vis</v>
      </c>
      <c r="E51" s="100">
        <f>VLOOKUP(C51,Active!C$21:E$968,3,FALSE)</f>
        <v>21134.941178413555</v>
      </c>
      <c r="F51" s="5" t="s">
        <v>152</v>
      </c>
      <c r="G51" s="15" t="str">
        <f t="shared" si="10"/>
        <v>54199.4152</v>
      </c>
      <c r="H51" s="16">
        <f t="shared" si="11"/>
        <v>21133.5</v>
      </c>
      <c r="I51" s="101" t="s">
        <v>509</v>
      </c>
      <c r="J51" s="102" t="s">
        <v>510</v>
      </c>
      <c r="K51" s="101" t="s">
        <v>511</v>
      </c>
      <c r="L51" s="101" t="s">
        <v>512</v>
      </c>
      <c r="M51" s="102" t="s">
        <v>334</v>
      </c>
      <c r="N51" s="102" t="s">
        <v>392</v>
      </c>
      <c r="O51" s="103" t="s">
        <v>513</v>
      </c>
      <c r="P51" s="104" t="s">
        <v>514</v>
      </c>
    </row>
    <row r="52" spans="1:16" ht="12.75" customHeight="1" thickBot="1" x14ac:dyDescent="0.25">
      <c r="A52" s="16" t="str">
        <f t="shared" si="6"/>
        <v>BAVM 186 </v>
      </c>
      <c r="B52" s="5" t="str">
        <f t="shared" si="7"/>
        <v>II</v>
      </c>
      <c r="C52" s="16">
        <f t="shared" si="8"/>
        <v>54211.399899999997</v>
      </c>
      <c r="D52" s="15" t="str">
        <f t="shared" si="9"/>
        <v>vis</v>
      </c>
      <c r="E52" s="100">
        <f>VLOOKUP(C52,Active!C$21:E$968,3,FALSE)</f>
        <v>21145.937264314536</v>
      </c>
      <c r="F52" s="5" t="s">
        <v>152</v>
      </c>
      <c r="G52" s="15" t="str">
        <f t="shared" si="10"/>
        <v>54211.3999</v>
      </c>
      <c r="H52" s="16">
        <f t="shared" si="11"/>
        <v>21144.5</v>
      </c>
      <c r="I52" s="101" t="s">
        <v>515</v>
      </c>
      <c r="J52" s="102" t="s">
        <v>516</v>
      </c>
      <c r="K52" s="101" t="s">
        <v>517</v>
      </c>
      <c r="L52" s="101" t="s">
        <v>518</v>
      </c>
      <c r="M52" s="102" t="s">
        <v>334</v>
      </c>
      <c r="N52" s="102" t="s">
        <v>328</v>
      </c>
      <c r="O52" s="103" t="s">
        <v>519</v>
      </c>
      <c r="P52" s="104" t="s">
        <v>514</v>
      </c>
    </row>
    <row r="53" spans="1:16" ht="12.75" customHeight="1" thickBot="1" x14ac:dyDescent="0.25">
      <c r="A53" s="16" t="str">
        <f t="shared" si="6"/>
        <v>IBVS 5870 </v>
      </c>
      <c r="B53" s="5" t="str">
        <f t="shared" si="7"/>
        <v>II</v>
      </c>
      <c r="C53" s="16">
        <f t="shared" si="8"/>
        <v>54528.565600000002</v>
      </c>
      <c r="D53" s="15" t="str">
        <f t="shared" si="9"/>
        <v>vis</v>
      </c>
      <c r="E53" s="100">
        <f>VLOOKUP(C53,Active!C$21:E$968,3,FALSE)</f>
        <v>21436.940066391049</v>
      </c>
      <c r="F53" s="5" t="s">
        <v>152</v>
      </c>
      <c r="G53" s="15" t="str">
        <f t="shared" si="10"/>
        <v>54528.5656</v>
      </c>
      <c r="H53" s="16">
        <f t="shared" si="11"/>
        <v>21435.5</v>
      </c>
      <c r="I53" s="101" t="s">
        <v>520</v>
      </c>
      <c r="J53" s="102" t="s">
        <v>521</v>
      </c>
      <c r="K53" s="101" t="s">
        <v>522</v>
      </c>
      <c r="L53" s="101" t="s">
        <v>523</v>
      </c>
      <c r="M53" s="102" t="s">
        <v>334</v>
      </c>
      <c r="N53" s="102" t="s">
        <v>152</v>
      </c>
      <c r="O53" s="103" t="s">
        <v>383</v>
      </c>
      <c r="P53" s="104" t="s">
        <v>524</v>
      </c>
    </row>
    <row r="54" spans="1:16" ht="12.75" customHeight="1" thickBot="1" x14ac:dyDescent="0.25">
      <c r="A54" s="16" t="str">
        <f t="shared" si="6"/>
        <v>JAAVSO 36(2);186 </v>
      </c>
      <c r="B54" s="5" t="str">
        <f t="shared" si="7"/>
        <v>II</v>
      </c>
      <c r="C54" s="16">
        <f t="shared" si="8"/>
        <v>54529.654300000002</v>
      </c>
      <c r="D54" s="15" t="str">
        <f t="shared" si="9"/>
        <v>vis</v>
      </c>
      <c r="E54" s="100">
        <f>VLOOKUP(C54,Active!C$21:E$968,3,FALSE)</f>
        <v>21437.938959873605</v>
      </c>
      <c r="F54" s="5" t="s">
        <v>152</v>
      </c>
      <c r="G54" s="15" t="str">
        <f t="shared" si="10"/>
        <v>54529.6543</v>
      </c>
      <c r="H54" s="16">
        <f t="shared" si="11"/>
        <v>21436.5</v>
      </c>
      <c r="I54" s="101" t="s">
        <v>525</v>
      </c>
      <c r="J54" s="102" t="s">
        <v>526</v>
      </c>
      <c r="K54" s="101" t="s">
        <v>527</v>
      </c>
      <c r="L54" s="101" t="s">
        <v>528</v>
      </c>
      <c r="M54" s="102" t="s">
        <v>334</v>
      </c>
      <c r="N54" s="102" t="s">
        <v>328</v>
      </c>
      <c r="O54" s="103" t="s">
        <v>508</v>
      </c>
      <c r="P54" s="104" t="s">
        <v>529</v>
      </c>
    </row>
    <row r="55" spans="1:16" ht="12.75" customHeight="1" thickBot="1" x14ac:dyDescent="0.25">
      <c r="A55" s="16" t="str">
        <f t="shared" si="6"/>
        <v>JAAVSO 36(2);186 </v>
      </c>
      <c r="B55" s="5" t="str">
        <f t="shared" si="7"/>
        <v>II</v>
      </c>
      <c r="C55" s="16">
        <f t="shared" si="8"/>
        <v>54590.686199999996</v>
      </c>
      <c r="D55" s="15" t="str">
        <f t="shared" si="9"/>
        <v>vis</v>
      </c>
      <c r="E55" s="100">
        <f>VLOOKUP(C55,Active!C$21:E$968,3,FALSE)</f>
        <v>21493.936357814342</v>
      </c>
      <c r="F55" s="5" t="s">
        <v>152</v>
      </c>
      <c r="G55" s="15" t="str">
        <f t="shared" si="10"/>
        <v>54590.6862</v>
      </c>
      <c r="H55" s="16">
        <f t="shared" si="11"/>
        <v>21492.5</v>
      </c>
      <c r="I55" s="101" t="s">
        <v>530</v>
      </c>
      <c r="J55" s="102" t="s">
        <v>531</v>
      </c>
      <c r="K55" s="101" t="s">
        <v>532</v>
      </c>
      <c r="L55" s="101" t="s">
        <v>533</v>
      </c>
      <c r="M55" s="102" t="s">
        <v>334</v>
      </c>
      <c r="N55" s="102" t="s">
        <v>328</v>
      </c>
      <c r="O55" s="103" t="s">
        <v>256</v>
      </c>
      <c r="P55" s="104" t="s">
        <v>529</v>
      </c>
    </row>
    <row r="56" spans="1:16" ht="12.75" customHeight="1" thickBot="1" x14ac:dyDescent="0.25">
      <c r="A56" s="16" t="str">
        <f t="shared" si="6"/>
        <v>IBVS 5893 </v>
      </c>
      <c r="B56" s="5" t="str">
        <f t="shared" si="7"/>
        <v>II</v>
      </c>
      <c r="C56" s="16">
        <f t="shared" si="8"/>
        <v>54962.345099999999</v>
      </c>
      <c r="D56" s="15" t="str">
        <f t="shared" si="9"/>
        <v>vis</v>
      </c>
      <c r="E56" s="100">
        <f>VLOOKUP(C56,Active!C$21:E$968,3,FALSE)</f>
        <v>21834.937233119184</v>
      </c>
      <c r="F56" s="5" t="s">
        <v>152</v>
      </c>
      <c r="G56" s="15" t="str">
        <f t="shared" si="10"/>
        <v>54962.3451</v>
      </c>
      <c r="H56" s="16">
        <f t="shared" si="11"/>
        <v>21833.5</v>
      </c>
      <c r="I56" s="101" t="s">
        <v>534</v>
      </c>
      <c r="J56" s="102" t="s">
        <v>535</v>
      </c>
      <c r="K56" s="101" t="s">
        <v>536</v>
      </c>
      <c r="L56" s="101" t="s">
        <v>537</v>
      </c>
      <c r="M56" s="102" t="s">
        <v>334</v>
      </c>
      <c r="N56" s="102" t="s">
        <v>95</v>
      </c>
      <c r="O56" s="103" t="s">
        <v>487</v>
      </c>
      <c r="P56" s="104" t="s">
        <v>488</v>
      </c>
    </row>
    <row r="57" spans="1:16" ht="12.75" customHeight="1" thickBot="1" x14ac:dyDescent="0.25">
      <c r="A57" s="16" t="str">
        <f t="shared" si="6"/>
        <v> JAAVSO 39;94 </v>
      </c>
      <c r="B57" s="5" t="str">
        <f t="shared" si="7"/>
        <v>II</v>
      </c>
      <c r="C57" s="16">
        <f t="shared" si="8"/>
        <v>55305.669300000001</v>
      </c>
      <c r="D57" s="15" t="str">
        <f t="shared" si="9"/>
        <v>vis</v>
      </c>
      <c r="E57" s="100">
        <f>VLOOKUP(C57,Active!C$21:E$968,3,FALSE)</f>
        <v>22149.940728833499</v>
      </c>
      <c r="F57" s="5" t="s">
        <v>152</v>
      </c>
      <c r="G57" s="15" t="str">
        <f t="shared" si="10"/>
        <v>55305.6693</v>
      </c>
      <c r="H57" s="16">
        <f t="shared" si="11"/>
        <v>22148.5</v>
      </c>
      <c r="I57" s="101" t="s">
        <v>538</v>
      </c>
      <c r="J57" s="102" t="s">
        <v>539</v>
      </c>
      <c r="K57" s="101" t="s">
        <v>540</v>
      </c>
      <c r="L57" s="101" t="s">
        <v>541</v>
      </c>
      <c r="M57" s="102" t="s">
        <v>334</v>
      </c>
      <c r="N57" s="102" t="s">
        <v>335</v>
      </c>
      <c r="O57" s="103" t="s">
        <v>256</v>
      </c>
      <c r="P57" s="103" t="s">
        <v>542</v>
      </c>
    </row>
    <row r="58" spans="1:16" ht="12.75" customHeight="1" thickBot="1" x14ac:dyDescent="0.25">
      <c r="A58" s="16" t="str">
        <f t="shared" si="6"/>
        <v> JAAVSO 39;177 </v>
      </c>
      <c r="B58" s="5" t="str">
        <f t="shared" si="7"/>
        <v>II</v>
      </c>
      <c r="C58" s="16">
        <f t="shared" si="8"/>
        <v>55560.709300000002</v>
      </c>
      <c r="D58" s="15" t="str">
        <f t="shared" si="9"/>
        <v>vis</v>
      </c>
      <c r="E58" s="100">
        <f>VLOOKUP(C58,Active!C$21:E$968,3,FALSE)</f>
        <v>22383.942560184092</v>
      </c>
      <c r="F58" s="5" t="s">
        <v>152</v>
      </c>
      <c r="G58" s="15" t="str">
        <f t="shared" si="10"/>
        <v>55560.7093</v>
      </c>
      <c r="H58" s="16">
        <f t="shared" si="11"/>
        <v>22382.5</v>
      </c>
      <c r="I58" s="101" t="s">
        <v>543</v>
      </c>
      <c r="J58" s="102" t="s">
        <v>544</v>
      </c>
      <c r="K58" s="101" t="s">
        <v>545</v>
      </c>
      <c r="L58" s="101" t="s">
        <v>546</v>
      </c>
      <c r="M58" s="102" t="s">
        <v>334</v>
      </c>
      <c r="N58" s="102" t="s">
        <v>152</v>
      </c>
      <c r="O58" s="103" t="s">
        <v>547</v>
      </c>
      <c r="P58" s="103" t="s">
        <v>548</v>
      </c>
    </row>
    <row r="59" spans="1:16" ht="12.75" customHeight="1" thickBot="1" x14ac:dyDescent="0.25">
      <c r="A59" s="16" t="str">
        <f t="shared" si="6"/>
        <v> JAAVSO 39;177 </v>
      </c>
      <c r="B59" s="5" t="str">
        <f t="shared" si="7"/>
        <v>II</v>
      </c>
      <c r="C59" s="16">
        <f t="shared" si="8"/>
        <v>55561.794800000003</v>
      </c>
      <c r="D59" s="15" t="str">
        <f t="shared" si="9"/>
        <v>vis</v>
      </c>
      <c r="E59" s="100">
        <f>VLOOKUP(C59,Active!C$21:E$968,3,FALSE)</f>
        <v>22384.938517633633</v>
      </c>
      <c r="F59" s="5" t="s">
        <v>152</v>
      </c>
      <c r="G59" s="15" t="str">
        <f t="shared" si="10"/>
        <v>55561.7948</v>
      </c>
      <c r="H59" s="16">
        <f t="shared" si="11"/>
        <v>22383.5</v>
      </c>
      <c r="I59" s="101" t="s">
        <v>549</v>
      </c>
      <c r="J59" s="102" t="s">
        <v>550</v>
      </c>
      <c r="K59" s="101" t="s">
        <v>551</v>
      </c>
      <c r="L59" s="101" t="s">
        <v>552</v>
      </c>
      <c r="M59" s="102" t="s">
        <v>334</v>
      </c>
      <c r="N59" s="102" t="s">
        <v>152</v>
      </c>
      <c r="O59" s="103" t="s">
        <v>547</v>
      </c>
      <c r="P59" s="103" t="s">
        <v>548</v>
      </c>
    </row>
    <row r="60" spans="1:16" ht="12.75" customHeight="1" thickBot="1" x14ac:dyDescent="0.25">
      <c r="A60" s="16" t="str">
        <f t="shared" si="6"/>
        <v>IBVS 5992 </v>
      </c>
      <c r="B60" s="5" t="str">
        <f t="shared" si="7"/>
        <v>II</v>
      </c>
      <c r="C60" s="16">
        <f t="shared" si="8"/>
        <v>55574.877500000002</v>
      </c>
      <c r="D60" s="15" t="str">
        <f t="shared" si="9"/>
        <v>vis</v>
      </c>
      <c r="E60" s="100">
        <f>VLOOKUP(C60,Active!C$21:E$968,3,FALSE)</f>
        <v>22396.942029863127</v>
      </c>
      <c r="F60" s="5" t="s">
        <v>152</v>
      </c>
      <c r="G60" s="15" t="str">
        <f t="shared" si="10"/>
        <v>55574.8775</v>
      </c>
      <c r="H60" s="16">
        <f t="shared" si="11"/>
        <v>22395.5</v>
      </c>
      <c r="I60" s="101" t="s">
        <v>553</v>
      </c>
      <c r="J60" s="102" t="s">
        <v>554</v>
      </c>
      <c r="K60" s="101" t="s">
        <v>555</v>
      </c>
      <c r="L60" s="101" t="s">
        <v>556</v>
      </c>
      <c r="M60" s="102" t="s">
        <v>334</v>
      </c>
      <c r="N60" s="102" t="s">
        <v>152</v>
      </c>
      <c r="O60" s="103" t="s">
        <v>358</v>
      </c>
      <c r="P60" s="104" t="s">
        <v>557</v>
      </c>
    </row>
    <row r="61" spans="1:16" ht="12.75" customHeight="1" thickBot="1" x14ac:dyDescent="0.25">
      <c r="A61" s="16" t="str">
        <f t="shared" si="6"/>
        <v> JAAVSO 39;177 </v>
      </c>
      <c r="B61" s="5" t="str">
        <f t="shared" si="7"/>
        <v>II</v>
      </c>
      <c r="C61" s="16">
        <f t="shared" si="8"/>
        <v>55608.664599999996</v>
      </c>
      <c r="D61" s="15" t="str">
        <f t="shared" si="9"/>
        <v>vis</v>
      </c>
      <c r="E61" s="100">
        <f>VLOOKUP(C61,Active!C$21:E$968,3,FALSE)</f>
        <v>22427.942042708266</v>
      </c>
      <c r="F61" s="5" t="s">
        <v>152</v>
      </c>
      <c r="G61" s="15" t="str">
        <f t="shared" si="10"/>
        <v>55608.6646</v>
      </c>
      <c r="H61" s="16">
        <f t="shared" si="11"/>
        <v>22426.5</v>
      </c>
      <c r="I61" s="101" t="s">
        <v>558</v>
      </c>
      <c r="J61" s="102" t="s">
        <v>559</v>
      </c>
      <c r="K61" s="101" t="s">
        <v>560</v>
      </c>
      <c r="L61" s="101" t="s">
        <v>556</v>
      </c>
      <c r="M61" s="102" t="s">
        <v>334</v>
      </c>
      <c r="N61" s="102" t="s">
        <v>152</v>
      </c>
      <c r="O61" s="103" t="s">
        <v>561</v>
      </c>
      <c r="P61" s="103" t="s">
        <v>548</v>
      </c>
    </row>
    <row r="62" spans="1:16" ht="12.75" customHeight="1" thickBot="1" x14ac:dyDescent="0.25">
      <c r="A62" s="16" t="str">
        <f t="shared" si="6"/>
        <v>BAVM 220 </v>
      </c>
      <c r="B62" s="5" t="str">
        <f t="shared" si="7"/>
        <v>I</v>
      </c>
      <c r="C62" s="16">
        <f t="shared" si="8"/>
        <v>55623.383900000001</v>
      </c>
      <c r="D62" s="15" t="str">
        <f t="shared" si="9"/>
        <v>vis</v>
      </c>
      <c r="E62" s="100">
        <f>VLOOKUP(C62,Active!C$21:E$968,3,FALSE)</f>
        <v>22441.447152323228</v>
      </c>
      <c r="F62" s="5" t="s">
        <v>152</v>
      </c>
      <c r="G62" s="15" t="str">
        <f t="shared" si="10"/>
        <v>55623.3839</v>
      </c>
      <c r="H62" s="16">
        <f t="shared" si="11"/>
        <v>22440</v>
      </c>
      <c r="I62" s="101" t="s">
        <v>562</v>
      </c>
      <c r="J62" s="102" t="s">
        <v>563</v>
      </c>
      <c r="K62" s="101" t="s">
        <v>564</v>
      </c>
      <c r="L62" s="101" t="s">
        <v>565</v>
      </c>
      <c r="M62" s="102" t="s">
        <v>334</v>
      </c>
      <c r="N62" s="102" t="s">
        <v>392</v>
      </c>
      <c r="O62" s="103" t="s">
        <v>566</v>
      </c>
      <c r="P62" s="104" t="s">
        <v>567</v>
      </c>
    </row>
    <row r="63" spans="1:16" ht="12.75" customHeight="1" thickBot="1" x14ac:dyDescent="0.25">
      <c r="A63" s="16" t="str">
        <f t="shared" si="6"/>
        <v>BAVM 220 </v>
      </c>
      <c r="B63" s="5" t="str">
        <f t="shared" si="7"/>
        <v>I</v>
      </c>
      <c r="C63" s="16">
        <f t="shared" si="8"/>
        <v>55625.5694</v>
      </c>
      <c r="D63" s="15" t="str">
        <f t="shared" si="9"/>
        <v>vis</v>
      </c>
      <c r="E63" s="100">
        <f>VLOOKUP(C63,Active!C$21:E$968,3,FALSE)</f>
        <v>22443.452371121915</v>
      </c>
      <c r="F63" s="5" t="s">
        <v>152</v>
      </c>
      <c r="G63" s="15" t="str">
        <f t="shared" si="10"/>
        <v>55625.5694</v>
      </c>
      <c r="H63" s="16">
        <f t="shared" si="11"/>
        <v>22442</v>
      </c>
      <c r="I63" s="101" t="s">
        <v>568</v>
      </c>
      <c r="J63" s="102" t="s">
        <v>569</v>
      </c>
      <c r="K63" s="101" t="s">
        <v>570</v>
      </c>
      <c r="L63" s="101" t="s">
        <v>571</v>
      </c>
      <c r="M63" s="102" t="s">
        <v>334</v>
      </c>
      <c r="N63" s="102" t="s">
        <v>392</v>
      </c>
      <c r="O63" s="103" t="s">
        <v>513</v>
      </c>
      <c r="P63" s="104" t="s">
        <v>567</v>
      </c>
    </row>
    <row r="64" spans="1:16" ht="12.75" customHeight="1" thickBot="1" x14ac:dyDescent="0.25">
      <c r="A64" s="16" t="str">
        <f t="shared" si="6"/>
        <v>OEJV 0160 </v>
      </c>
      <c r="B64" s="5" t="str">
        <f t="shared" si="7"/>
        <v>II</v>
      </c>
      <c r="C64" s="16">
        <f t="shared" si="8"/>
        <v>55642.450349999999</v>
      </c>
      <c r="D64" s="15" t="str">
        <f t="shared" si="9"/>
        <v>vis</v>
      </c>
      <c r="E64" s="100">
        <f>VLOOKUP(C64,Active!C$21:E$968,3,FALSE)</f>
        <v>22458.940816914484</v>
      </c>
      <c r="F64" s="5" t="s">
        <v>152</v>
      </c>
      <c r="G64" s="15" t="str">
        <f t="shared" si="10"/>
        <v>55642.45035</v>
      </c>
      <c r="H64" s="16">
        <f t="shared" si="11"/>
        <v>22457.5</v>
      </c>
      <c r="I64" s="101" t="s">
        <v>572</v>
      </c>
      <c r="J64" s="102" t="s">
        <v>573</v>
      </c>
      <c r="K64" s="101" t="s">
        <v>574</v>
      </c>
      <c r="L64" s="101" t="s">
        <v>575</v>
      </c>
      <c r="M64" s="102" t="s">
        <v>334</v>
      </c>
      <c r="N64" s="102" t="s">
        <v>128</v>
      </c>
      <c r="O64" s="103" t="s">
        <v>576</v>
      </c>
      <c r="P64" s="104" t="s">
        <v>577</v>
      </c>
    </row>
    <row r="65" spans="1:16" ht="12.75" customHeight="1" thickBot="1" x14ac:dyDescent="0.25">
      <c r="A65" s="16" t="str">
        <f t="shared" si="6"/>
        <v>OEJV 0160 </v>
      </c>
      <c r="B65" s="5" t="str">
        <f t="shared" si="7"/>
        <v>II</v>
      </c>
      <c r="C65" s="16">
        <f t="shared" si="8"/>
        <v>55642.450949999999</v>
      </c>
      <c r="D65" s="15" t="str">
        <f t="shared" si="9"/>
        <v>vis</v>
      </c>
      <c r="E65" s="100">
        <f>VLOOKUP(C65,Active!C$21:E$968,3,FALSE)</f>
        <v>22458.941367420677</v>
      </c>
      <c r="F65" s="5" t="s">
        <v>152</v>
      </c>
      <c r="G65" s="15" t="str">
        <f t="shared" si="10"/>
        <v>55642.45095</v>
      </c>
      <c r="H65" s="16">
        <f t="shared" si="11"/>
        <v>22457.5</v>
      </c>
      <c r="I65" s="101" t="s">
        <v>578</v>
      </c>
      <c r="J65" s="102" t="s">
        <v>579</v>
      </c>
      <c r="K65" s="101" t="s">
        <v>574</v>
      </c>
      <c r="L65" s="101" t="s">
        <v>580</v>
      </c>
      <c r="M65" s="102" t="s">
        <v>334</v>
      </c>
      <c r="N65" s="102" t="s">
        <v>152</v>
      </c>
      <c r="O65" s="103" t="s">
        <v>576</v>
      </c>
      <c r="P65" s="104" t="s">
        <v>577</v>
      </c>
    </row>
    <row r="66" spans="1:16" ht="12.75" customHeight="1" thickBot="1" x14ac:dyDescent="0.25">
      <c r="A66" s="16" t="str">
        <f t="shared" si="6"/>
        <v>BAVM 220 </v>
      </c>
      <c r="B66" s="5" t="str">
        <f t="shared" si="7"/>
        <v>II</v>
      </c>
      <c r="C66" s="16">
        <f t="shared" si="8"/>
        <v>55643.5406</v>
      </c>
      <c r="D66" s="15" t="str">
        <f t="shared" si="9"/>
        <v>vis</v>
      </c>
      <c r="E66" s="100">
        <f>VLOOKUP(C66,Active!C$21:E$968,3,FALSE)</f>
        <v>22459.941132538035</v>
      </c>
      <c r="F66" s="5" t="s">
        <v>152</v>
      </c>
      <c r="G66" s="15" t="str">
        <f t="shared" si="10"/>
        <v>55643.5406</v>
      </c>
      <c r="H66" s="16">
        <f t="shared" si="11"/>
        <v>22458.5</v>
      </c>
      <c r="I66" s="101" t="s">
        <v>581</v>
      </c>
      <c r="J66" s="102" t="s">
        <v>582</v>
      </c>
      <c r="K66" s="101" t="s">
        <v>583</v>
      </c>
      <c r="L66" s="101" t="s">
        <v>512</v>
      </c>
      <c r="M66" s="102" t="s">
        <v>334</v>
      </c>
      <c r="N66" s="102" t="s">
        <v>392</v>
      </c>
      <c r="O66" s="103" t="s">
        <v>566</v>
      </c>
      <c r="P66" s="104" t="s">
        <v>567</v>
      </c>
    </row>
    <row r="67" spans="1:16" ht="12.75" customHeight="1" thickBot="1" x14ac:dyDescent="0.25">
      <c r="A67" s="16" t="str">
        <f t="shared" si="6"/>
        <v>OEJV 0160 </v>
      </c>
      <c r="B67" s="5" t="str">
        <f t="shared" si="7"/>
        <v>II</v>
      </c>
      <c r="C67" s="16">
        <f t="shared" si="8"/>
        <v>55653.350259999999</v>
      </c>
      <c r="D67" s="15" t="str">
        <f t="shared" si="9"/>
        <v>vis</v>
      </c>
      <c r="E67" s="100">
        <f>VLOOKUP(C67,Active!C$21:E$968,3,FALSE)</f>
        <v>22468.941596798257</v>
      </c>
      <c r="F67" s="5" t="s">
        <v>152</v>
      </c>
      <c r="G67" s="15" t="str">
        <f t="shared" si="10"/>
        <v>55653.35026</v>
      </c>
      <c r="H67" s="16">
        <f t="shared" si="11"/>
        <v>22467.5</v>
      </c>
      <c r="I67" s="101" t="s">
        <v>584</v>
      </c>
      <c r="J67" s="102" t="s">
        <v>585</v>
      </c>
      <c r="K67" s="101" t="s">
        <v>586</v>
      </c>
      <c r="L67" s="101" t="s">
        <v>587</v>
      </c>
      <c r="M67" s="102" t="s">
        <v>334</v>
      </c>
      <c r="N67" s="102" t="s">
        <v>128</v>
      </c>
      <c r="O67" s="103" t="s">
        <v>576</v>
      </c>
      <c r="P67" s="104" t="s">
        <v>577</v>
      </c>
    </row>
    <row r="68" spans="1:16" ht="12.75" customHeight="1" thickBot="1" x14ac:dyDescent="0.25">
      <c r="A68" s="16" t="str">
        <f t="shared" si="6"/>
        <v>OEJV 0160 </v>
      </c>
      <c r="B68" s="5" t="str">
        <f t="shared" si="7"/>
        <v>II</v>
      </c>
      <c r="C68" s="16">
        <f t="shared" si="8"/>
        <v>55653.351459999998</v>
      </c>
      <c r="D68" s="15" t="str">
        <f t="shared" si="9"/>
        <v>vis</v>
      </c>
      <c r="E68" s="100">
        <f>VLOOKUP(C68,Active!C$21:E$968,3,FALSE)</f>
        <v>22468.942697810635</v>
      </c>
      <c r="F68" s="5" t="s">
        <v>152</v>
      </c>
      <c r="G68" s="15" t="str">
        <f t="shared" si="10"/>
        <v>55653.35146</v>
      </c>
      <c r="H68" s="16">
        <f t="shared" si="11"/>
        <v>22467.5</v>
      </c>
      <c r="I68" s="101" t="s">
        <v>588</v>
      </c>
      <c r="J68" s="102" t="s">
        <v>589</v>
      </c>
      <c r="K68" s="101" t="s">
        <v>586</v>
      </c>
      <c r="L68" s="101" t="s">
        <v>590</v>
      </c>
      <c r="M68" s="102" t="s">
        <v>334</v>
      </c>
      <c r="N68" s="102" t="s">
        <v>152</v>
      </c>
      <c r="O68" s="103" t="s">
        <v>576</v>
      </c>
      <c r="P68" s="104" t="s">
        <v>577</v>
      </c>
    </row>
    <row r="69" spans="1:16" ht="12.75" customHeight="1" thickBot="1" x14ac:dyDescent="0.25">
      <c r="A69" s="16" t="str">
        <f t="shared" si="6"/>
        <v> JAAVSO 41;122 </v>
      </c>
      <c r="B69" s="5" t="str">
        <f t="shared" si="7"/>
        <v>II</v>
      </c>
      <c r="C69" s="16">
        <f t="shared" si="8"/>
        <v>55995.582399999999</v>
      </c>
      <c r="D69" s="15" t="str">
        <f t="shared" si="9"/>
        <v>vis</v>
      </c>
      <c r="E69" s="100">
        <f>VLOOKUP(C69,Active!C$21:E$968,3,FALSE)</f>
        <v>22782.94311619534</v>
      </c>
      <c r="F69" s="5" t="s">
        <v>152</v>
      </c>
      <c r="G69" s="15" t="str">
        <f t="shared" si="10"/>
        <v>55995.5824</v>
      </c>
      <c r="H69" s="16">
        <f t="shared" si="11"/>
        <v>22781.5</v>
      </c>
      <c r="I69" s="101" t="s">
        <v>591</v>
      </c>
      <c r="J69" s="102" t="s">
        <v>592</v>
      </c>
      <c r="K69" s="101" t="s">
        <v>593</v>
      </c>
      <c r="L69" s="101" t="s">
        <v>468</v>
      </c>
      <c r="M69" s="102" t="s">
        <v>334</v>
      </c>
      <c r="N69" s="102" t="s">
        <v>152</v>
      </c>
      <c r="O69" s="103" t="s">
        <v>594</v>
      </c>
      <c r="P69" s="103" t="s">
        <v>595</v>
      </c>
    </row>
    <row r="70" spans="1:16" ht="12.75" customHeight="1" thickBot="1" x14ac:dyDescent="0.25">
      <c r="A70" s="16" t="str">
        <f t="shared" si="6"/>
        <v>OEJV 0160 </v>
      </c>
      <c r="B70" s="5" t="str">
        <f t="shared" si="7"/>
        <v>II</v>
      </c>
      <c r="C70" s="16">
        <f t="shared" si="8"/>
        <v>56005.3897</v>
      </c>
      <c r="D70" s="15" t="str">
        <f t="shared" si="9"/>
        <v>vis</v>
      </c>
      <c r="E70" s="100">
        <f>VLOOKUP(C70,Active!C$21:E$968,3,FALSE)</f>
        <v>22791.941415131212</v>
      </c>
      <c r="F70" s="5" t="s">
        <v>152</v>
      </c>
      <c r="G70" s="15" t="str">
        <f t="shared" si="10"/>
        <v>56005.3897</v>
      </c>
      <c r="H70" s="16">
        <f t="shared" si="11"/>
        <v>22790.5</v>
      </c>
      <c r="I70" s="101" t="s">
        <v>596</v>
      </c>
      <c r="J70" s="102" t="s">
        <v>597</v>
      </c>
      <c r="K70" s="101" t="s">
        <v>598</v>
      </c>
      <c r="L70" s="101" t="s">
        <v>599</v>
      </c>
      <c r="M70" s="102" t="s">
        <v>334</v>
      </c>
      <c r="N70" s="102" t="s">
        <v>128</v>
      </c>
      <c r="O70" s="103" t="s">
        <v>576</v>
      </c>
      <c r="P70" s="104" t="s">
        <v>577</v>
      </c>
    </row>
    <row r="71" spans="1:16" ht="12.75" customHeight="1" thickBot="1" x14ac:dyDescent="0.25">
      <c r="A71" s="16" t="str">
        <f t="shared" si="6"/>
        <v>OEJV 0160 </v>
      </c>
      <c r="B71" s="5" t="str">
        <f t="shared" si="7"/>
        <v>II</v>
      </c>
      <c r="C71" s="16">
        <f t="shared" si="8"/>
        <v>56005.390200000002</v>
      </c>
      <c r="D71" s="15" t="str">
        <f t="shared" si="9"/>
        <v>vis</v>
      </c>
      <c r="E71" s="100">
        <f>VLOOKUP(C71,Active!C$21:E$968,3,FALSE)</f>
        <v>22791.941873886375</v>
      </c>
      <c r="F71" s="5" t="s">
        <v>152</v>
      </c>
      <c r="G71" s="15" t="str">
        <f t="shared" si="10"/>
        <v>56005.3902</v>
      </c>
      <c r="H71" s="16">
        <f t="shared" si="11"/>
        <v>22790.5</v>
      </c>
      <c r="I71" s="101" t="s">
        <v>600</v>
      </c>
      <c r="J71" s="102" t="s">
        <v>597</v>
      </c>
      <c r="K71" s="101" t="s">
        <v>598</v>
      </c>
      <c r="L71" s="101" t="s">
        <v>601</v>
      </c>
      <c r="M71" s="102" t="s">
        <v>334</v>
      </c>
      <c r="N71" s="102" t="s">
        <v>152</v>
      </c>
      <c r="O71" s="103" t="s">
        <v>576</v>
      </c>
      <c r="P71" s="104" t="s">
        <v>577</v>
      </c>
    </row>
    <row r="72" spans="1:16" ht="12.75" customHeight="1" thickBot="1" x14ac:dyDescent="0.25">
      <c r="A72" s="16" t="str">
        <f t="shared" si="6"/>
        <v>OEJV 0160 </v>
      </c>
      <c r="B72" s="5" t="str">
        <f t="shared" si="7"/>
        <v>II</v>
      </c>
      <c r="C72" s="16">
        <f t="shared" si="8"/>
        <v>56005.390599999999</v>
      </c>
      <c r="D72" s="15" t="str">
        <f t="shared" si="9"/>
        <v>vis</v>
      </c>
      <c r="E72" s="100">
        <f>VLOOKUP(C72,Active!C$21:E$968,3,FALSE)</f>
        <v>22791.942240890497</v>
      </c>
      <c r="F72" s="5" t="s">
        <v>152</v>
      </c>
      <c r="G72" s="15" t="str">
        <f t="shared" si="10"/>
        <v>56005.3906</v>
      </c>
      <c r="H72" s="16">
        <f t="shared" si="11"/>
        <v>22790.5</v>
      </c>
      <c r="I72" s="101" t="s">
        <v>602</v>
      </c>
      <c r="J72" s="102" t="s">
        <v>603</v>
      </c>
      <c r="K72" s="101" t="s">
        <v>598</v>
      </c>
      <c r="L72" s="101" t="s">
        <v>604</v>
      </c>
      <c r="M72" s="102" t="s">
        <v>334</v>
      </c>
      <c r="N72" s="102" t="s">
        <v>57</v>
      </c>
      <c r="O72" s="103" t="s">
        <v>576</v>
      </c>
      <c r="P72" s="104" t="s">
        <v>577</v>
      </c>
    </row>
    <row r="73" spans="1:16" ht="12.75" customHeight="1" thickBot="1" x14ac:dyDescent="0.25">
      <c r="A73" s="16" t="str">
        <f t="shared" si="6"/>
        <v>IBVS 6029 </v>
      </c>
      <c r="B73" s="5" t="str">
        <f t="shared" si="7"/>
        <v>II</v>
      </c>
      <c r="C73" s="16">
        <f t="shared" si="8"/>
        <v>56021.742299999998</v>
      </c>
      <c r="D73" s="15" t="str">
        <f t="shared" si="9"/>
        <v>vis</v>
      </c>
      <c r="E73" s="100">
        <f>VLOOKUP(C73,Active!C$21:E$968,3,FALSE)</f>
        <v>22806.945094347586</v>
      </c>
      <c r="F73" s="5" t="s">
        <v>152</v>
      </c>
      <c r="G73" s="15" t="str">
        <f t="shared" si="10"/>
        <v>56021.7423</v>
      </c>
      <c r="H73" s="16">
        <f t="shared" si="11"/>
        <v>22805.5</v>
      </c>
      <c r="I73" s="101" t="s">
        <v>605</v>
      </c>
      <c r="J73" s="102" t="s">
        <v>606</v>
      </c>
      <c r="K73" s="101" t="s">
        <v>607</v>
      </c>
      <c r="L73" s="101" t="s">
        <v>391</v>
      </c>
      <c r="M73" s="102" t="s">
        <v>334</v>
      </c>
      <c r="N73" s="102" t="s">
        <v>152</v>
      </c>
      <c r="O73" s="103" t="s">
        <v>358</v>
      </c>
      <c r="P73" s="104" t="s">
        <v>608</v>
      </c>
    </row>
    <row r="74" spans="1:16" ht="12.75" customHeight="1" thickBot="1" x14ac:dyDescent="0.25">
      <c r="A74" s="16" t="str">
        <f t="shared" si="6"/>
        <v>BAVM 238 </v>
      </c>
      <c r="B74" s="5" t="str">
        <f t="shared" si="7"/>
        <v>I</v>
      </c>
      <c r="C74" s="16">
        <f t="shared" si="8"/>
        <v>56727.460899999998</v>
      </c>
      <c r="D74" s="15" t="str">
        <f t="shared" si="9"/>
        <v>vis</v>
      </c>
      <c r="E74" s="100">
        <f>VLOOKUP(C74,Active!C$21:E$968,3,FALSE)</f>
        <v>23454.449191031152</v>
      </c>
      <c r="F74" s="5" t="s">
        <v>152</v>
      </c>
      <c r="G74" s="15" t="str">
        <f t="shared" si="10"/>
        <v>56727.4609</v>
      </c>
      <c r="H74" s="16">
        <f t="shared" si="11"/>
        <v>23453</v>
      </c>
      <c r="I74" s="101" t="s">
        <v>609</v>
      </c>
      <c r="J74" s="102" t="s">
        <v>610</v>
      </c>
      <c r="K74" s="101" t="s">
        <v>611</v>
      </c>
      <c r="L74" s="101" t="s">
        <v>612</v>
      </c>
      <c r="M74" s="102" t="s">
        <v>334</v>
      </c>
      <c r="N74" s="102">
        <v>0</v>
      </c>
      <c r="O74" s="103" t="s">
        <v>566</v>
      </c>
      <c r="P74" s="104" t="s">
        <v>613</v>
      </c>
    </row>
    <row r="75" spans="1:16" ht="12.75" customHeight="1" thickBot="1" x14ac:dyDescent="0.25">
      <c r="A75" s="16" t="str">
        <f t="shared" ref="A75:A106" si="12">P75</f>
        <v>BAVM 239 </v>
      </c>
      <c r="B75" s="5" t="str">
        <f t="shared" ref="B75:B106" si="13">IF(H75=INT(H75),"I","II")</f>
        <v>II</v>
      </c>
      <c r="C75" s="16">
        <f t="shared" ref="C75:C106" si="14">1*G75</f>
        <v>57074.594799999999</v>
      </c>
      <c r="D75" s="15" t="str">
        <f t="shared" ref="D75:D106" si="15">VLOOKUP(F75,I$1:J$5,2,FALSE)</f>
        <v>vis</v>
      </c>
      <c r="E75" s="100">
        <f>VLOOKUP(C75,Active!C$21:E$968,3,FALSE)</f>
        <v>23772.948125801675</v>
      </c>
      <c r="F75" s="5" t="s">
        <v>152</v>
      </c>
      <c r="G75" s="15" t="str">
        <f t="shared" ref="G75:G106" si="16">MID(I75,3,LEN(I75)-3)</f>
        <v>57074.5948</v>
      </c>
      <c r="H75" s="16">
        <f t="shared" ref="H75:H106" si="17">1*K75</f>
        <v>23771.5</v>
      </c>
      <c r="I75" s="101" t="s">
        <v>618</v>
      </c>
      <c r="J75" s="102" t="s">
        <v>619</v>
      </c>
      <c r="K75" s="101">
        <v>23771.5</v>
      </c>
      <c r="L75" s="101" t="s">
        <v>620</v>
      </c>
      <c r="M75" s="102" t="s">
        <v>334</v>
      </c>
      <c r="N75" s="102">
        <v>0</v>
      </c>
      <c r="O75" s="103" t="s">
        <v>513</v>
      </c>
      <c r="P75" s="104" t="s">
        <v>621</v>
      </c>
    </row>
    <row r="76" spans="1:16" ht="12.75" customHeight="1" thickBot="1" x14ac:dyDescent="0.25">
      <c r="A76" s="16" t="str">
        <f t="shared" si="12"/>
        <v> IODE 4.2.171 </v>
      </c>
      <c r="B76" s="5" t="str">
        <f t="shared" si="13"/>
        <v>I</v>
      </c>
      <c r="C76" s="16">
        <f t="shared" si="14"/>
        <v>31150.15</v>
      </c>
      <c r="D76" s="15" t="str">
        <f t="shared" si="15"/>
        <v>vis</v>
      </c>
      <c r="E76" s="100">
        <f>VLOOKUP(C76,Active!C$21:E$968,3,FALSE)</f>
        <v>-12.997451156335902</v>
      </c>
      <c r="F76" s="5" t="s">
        <v>152</v>
      </c>
      <c r="G76" s="15" t="str">
        <f t="shared" si="16"/>
        <v>31150.15</v>
      </c>
      <c r="H76" s="16">
        <f t="shared" si="17"/>
        <v>-13</v>
      </c>
      <c r="I76" s="101" t="s">
        <v>174</v>
      </c>
      <c r="J76" s="102" t="s">
        <v>175</v>
      </c>
      <c r="K76" s="101">
        <v>-13</v>
      </c>
      <c r="L76" s="101" t="s">
        <v>176</v>
      </c>
      <c r="M76" s="102" t="s">
        <v>177</v>
      </c>
      <c r="N76" s="102"/>
      <c r="O76" s="103" t="s">
        <v>178</v>
      </c>
      <c r="P76" s="103" t="s">
        <v>179</v>
      </c>
    </row>
    <row r="77" spans="1:16" ht="12.75" customHeight="1" thickBot="1" x14ac:dyDescent="0.25">
      <c r="A77" s="16" t="str">
        <f t="shared" si="12"/>
        <v> IODE 4.2.171 </v>
      </c>
      <c r="B77" s="5" t="str">
        <f t="shared" si="13"/>
        <v>I</v>
      </c>
      <c r="C77" s="16">
        <f t="shared" si="14"/>
        <v>31162.13</v>
      </c>
      <c r="D77" s="15" t="str">
        <f t="shared" si="15"/>
        <v>vis</v>
      </c>
      <c r="E77" s="100">
        <f>VLOOKUP(C77,Active!C$21:E$968,3,FALSE)</f>
        <v>-2.0056775538421436</v>
      </c>
      <c r="F77" s="5" t="s">
        <v>152</v>
      </c>
      <c r="G77" s="15" t="str">
        <f t="shared" si="16"/>
        <v>31162.13</v>
      </c>
      <c r="H77" s="16">
        <f t="shared" si="17"/>
        <v>-2</v>
      </c>
      <c r="I77" s="101" t="s">
        <v>180</v>
      </c>
      <c r="J77" s="102" t="s">
        <v>181</v>
      </c>
      <c r="K77" s="101">
        <v>-2</v>
      </c>
      <c r="L77" s="101" t="s">
        <v>182</v>
      </c>
      <c r="M77" s="102" t="s">
        <v>177</v>
      </c>
      <c r="N77" s="102"/>
      <c r="O77" s="103" t="s">
        <v>178</v>
      </c>
      <c r="P77" s="103" t="s">
        <v>179</v>
      </c>
    </row>
    <row r="78" spans="1:16" ht="12.75" customHeight="1" thickBot="1" x14ac:dyDescent="0.25">
      <c r="A78" s="16" t="str">
        <f t="shared" si="12"/>
        <v> IODE 4.2.171 </v>
      </c>
      <c r="B78" s="5" t="str">
        <f t="shared" si="13"/>
        <v>I</v>
      </c>
      <c r="C78" s="16">
        <f t="shared" si="14"/>
        <v>31164.313999999998</v>
      </c>
      <c r="D78" s="15" t="str">
        <f t="shared" si="15"/>
        <v>vis</v>
      </c>
      <c r="E78" s="100">
        <f>VLOOKUP(C78,Active!C$21:E$968,3,FALSE)</f>
        <v>-1.8350206351808813E-3</v>
      </c>
      <c r="F78" s="5" t="s">
        <v>152</v>
      </c>
      <c r="G78" s="15" t="str">
        <f t="shared" si="16"/>
        <v>31164.314</v>
      </c>
      <c r="H78" s="16">
        <f t="shared" si="17"/>
        <v>0</v>
      </c>
      <c r="I78" s="101" t="s">
        <v>183</v>
      </c>
      <c r="J78" s="102" t="s">
        <v>184</v>
      </c>
      <c r="K78" s="101">
        <v>0</v>
      </c>
      <c r="L78" s="101" t="s">
        <v>185</v>
      </c>
      <c r="M78" s="102" t="s">
        <v>177</v>
      </c>
      <c r="N78" s="102"/>
      <c r="O78" s="103" t="s">
        <v>178</v>
      </c>
      <c r="P78" s="103" t="s">
        <v>179</v>
      </c>
    </row>
    <row r="79" spans="1:16" ht="12.75" customHeight="1" thickBot="1" x14ac:dyDescent="0.25">
      <c r="A79" s="16" t="str">
        <f t="shared" si="12"/>
        <v> IODE 4.2.171 </v>
      </c>
      <c r="B79" s="5" t="str">
        <f t="shared" si="13"/>
        <v>I</v>
      </c>
      <c r="C79" s="16">
        <f t="shared" si="14"/>
        <v>31165.396000000001</v>
      </c>
      <c r="D79" s="15" t="str">
        <f t="shared" si="15"/>
        <v>vis</v>
      </c>
      <c r="E79" s="100">
        <f>VLOOKUP(C79,Active!C$21:E$968,3,FALSE)</f>
        <v>0.99091114279740289</v>
      </c>
      <c r="F79" s="5" t="s">
        <v>152</v>
      </c>
      <c r="G79" s="15" t="str">
        <f t="shared" si="16"/>
        <v>31165.396</v>
      </c>
      <c r="H79" s="16">
        <f t="shared" si="17"/>
        <v>1</v>
      </c>
      <c r="I79" s="101" t="s">
        <v>186</v>
      </c>
      <c r="J79" s="102" t="s">
        <v>187</v>
      </c>
      <c r="K79" s="101">
        <v>1</v>
      </c>
      <c r="L79" s="101" t="s">
        <v>188</v>
      </c>
      <c r="M79" s="102" t="s">
        <v>177</v>
      </c>
      <c r="N79" s="102"/>
      <c r="O79" s="103" t="s">
        <v>178</v>
      </c>
      <c r="P79" s="103" t="s">
        <v>179</v>
      </c>
    </row>
    <row r="80" spans="1:16" ht="12.75" customHeight="1" thickBot="1" x14ac:dyDescent="0.25">
      <c r="A80" s="16" t="str">
        <f t="shared" si="12"/>
        <v> IODE 4.2.171 </v>
      </c>
      <c r="B80" s="5" t="str">
        <f t="shared" si="13"/>
        <v>I</v>
      </c>
      <c r="C80" s="16">
        <f t="shared" si="14"/>
        <v>31186.14</v>
      </c>
      <c r="D80" s="15" t="str">
        <f t="shared" si="15"/>
        <v>vis</v>
      </c>
      <c r="E80" s="100">
        <f>VLOOKUP(C80,Active!C$21:E$968,3,FALSE)</f>
        <v>20.023745167014884</v>
      </c>
      <c r="F80" s="5" t="s">
        <v>152</v>
      </c>
      <c r="G80" s="15" t="str">
        <f t="shared" si="16"/>
        <v>31186.14</v>
      </c>
      <c r="H80" s="16">
        <f t="shared" si="17"/>
        <v>20</v>
      </c>
      <c r="I80" s="101" t="s">
        <v>189</v>
      </c>
      <c r="J80" s="102" t="s">
        <v>190</v>
      </c>
      <c r="K80" s="101">
        <v>20</v>
      </c>
      <c r="L80" s="101" t="s">
        <v>191</v>
      </c>
      <c r="M80" s="102" t="s">
        <v>177</v>
      </c>
      <c r="N80" s="102"/>
      <c r="O80" s="103" t="s">
        <v>178</v>
      </c>
      <c r="P80" s="103" t="s">
        <v>179</v>
      </c>
    </row>
    <row r="81" spans="1:16" ht="12.75" customHeight="1" thickBot="1" x14ac:dyDescent="0.25">
      <c r="A81" s="16" t="str">
        <f t="shared" si="12"/>
        <v> IODE 4.2.171 </v>
      </c>
      <c r="B81" s="5" t="str">
        <f t="shared" si="13"/>
        <v>I</v>
      </c>
      <c r="C81" s="16">
        <f t="shared" si="14"/>
        <v>31212.28</v>
      </c>
      <c r="D81" s="15" t="str">
        <f t="shared" si="15"/>
        <v>vis</v>
      </c>
      <c r="E81" s="100">
        <f>VLOOKUP(C81,Active!C$21:E$968,3,FALSE)</f>
        <v>44.007464863942339</v>
      </c>
      <c r="F81" s="5" t="s">
        <v>152</v>
      </c>
      <c r="G81" s="15" t="str">
        <f t="shared" si="16"/>
        <v>31212.28</v>
      </c>
      <c r="H81" s="16">
        <f t="shared" si="17"/>
        <v>44</v>
      </c>
      <c r="I81" s="101" t="s">
        <v>192</v>
      </c>
      <c r="J81" s="102" t="s">
        <v>193</v>
      </c>
      <c r="K81" s="101">
        <v>44</v>
      </c>
      <c r="L81" s="101" t="s">
        <v>194</v>
      </c>
      <c r="M81" s="102" t="s">
        <v>177</v>
      </c>
      <c r="N81" s="102"/>
      <c r="O81" s="103" t="s">
        <v>178</v>
      </c>
      <c r="P81" s="103" t="s">
        <v>179</v>
      </c>
    </row>
    <row r="82" spans="1:16" ht="12.75" customHeight="1" thickBot="1" x14ac:dyDescent="0.25">
      <c r="A82" s="16" t="str">
        <f t="shared" si="12"/>
        <v> IODE 4.2.171 </v>
      </c>
      <c r="B82" s="5" t="str">
        <f t="shared" si="13"/>
        <v>I</v>
      </c>
      <c r="C82" s="16">
        <f t="shared" si="14"/>
        <v>31224.22</v>
      </c>
      <c r="D82" s="15" t="str">
        <f t="shared" si="15"/>
        <v>vis</v>
      </c>
      <c r="E82" s="100">
        <f>VLOOKUP(C82,Active!C$21:E$968,3,FALSE)</f>
        <v>54.962538053742492</v>
      </c>
      <c r="F82" s="5" t="s">
        <v>152</v>
      </c>
      <c r="G82" s="15" t="str">
        <f t="shared" si="16"/>
        <v>31224.22</v>
      </c>
      <c r="H82" s="16">
        <f t="shared" si="17"/>
        <v>55</v>
      </c>
      <c r="I82" s="101" t="s">
        <v>195</v>
      </c>
      <c r="J82" s="102" t="s">
        <v>196</v>
      </c>
      <c r="K82" s="101">
        <v>55</v>
      </c>
      <c r="L82" s="101" t="s">
        <v>197</v>
      </c>
      <c r="M82" s="102" t="s">
        <v>177</v>
      </c>
      <c r="N82" s="102"/>
      <c r="O82" s="103" t="s">
        <v>178</v>
      </c>
      <c r="P82" s="103" t="s">
        <v>179</v>
      </c>
    </row>
    <row r="83" spans="1:16" ht="12.75" customHeight="1" thickBot="1" x14ac:dyDescent="0.25">
      <c r="A83" s="16" t="str">
        <f t="shared" si="12"/>
        <v> IODE 4.2.171 </v>
      </c>
      <c r="B83" s="5" t="str">
        <f t="shared" si="13"/>
        <v>I</v>
      </c>
      <c r="C83" s="16">
        <f t="shared" si="14"/>
        <v>31235.18</v>
      </c>
      <c r="D83" s="15" t="str">
        <f t="shared" si="15"/>
        <v>vis</v>
      </c>
      <c r="E83" s="100">
        <f>VLOOKUP(C83,Active!C$21:E$968,3,FALSE)</f>
        <v>65.018451132484259</v>
      </c>
      <c r="F83" s="5" t="s">
        <v>152</v>
      </c>
      <c r="G83" s="15" t="str">
        <f t="shared" si="16"/>
        <v>31235.18</v>
      </c>
      <c r="H83" s="16">
        <f t="shared" si="17"/>
        <v>65</v>
      </c>
      <c r="I83" s="101" t="s">
        <v>198</v>
      </c>
      <c r="J83" s="102" t="s">
        <v>199</v>
      </c>
      <c r="K83" s="101">
        <v>65</v>
      </c>
      <c r="L83" s="101" t="s">
        <v>200</v>
      </c>
      <c r="M83" s="102" t="s">
        <v>177</v>
      </c>
      <c r="N83" s="102"/>
      <c r="O83" s="103" t="s">
        <v>178</v>
      </c>
      <c r="P83" s="103" t="s">
        <v>179</v>
      </c>
    </row>
    <row r="84" spans="1:16" ht="12.75" customHeight="1" thickBot="1" x14ac:dyDescent="0.25">
      <c r="A84" s="16" t="str">
        <f t="shared" si="12"/>
        <v> IODE 4.2.171 </v>
      </c>
      <c r="B84" s="5" t="str">
        <f t="shared" si="13"/>
        <v>I</v>
      </c>
      <c r="C84" s="16">
        <f t="shared" si="14"/>
        <v>31236.25</v>
      </c>
      <c r="D84" s="15" t="str">
        <f t="shared" si="15"/>
        <v>vis</v>
      </c>
      <c r="E84" s="100">
        <f>VLOOKUP(C84,Active!C$21:E$968,3,FALSE)</f>
        <v>66.000187172105768</v>
      </c>
      <c r="F84" s="5" t="s">
        <v>152</v>
      </c>
      <c r="G84" s="15" t="str">
        <f t="shared" si="16"/>
        <v>31236.25</v>
      </c>
      <c r="H84" s="16">
        <f t="shared" si="17"/>
        <v>66</v>
      </c>
      <c r="I84" s="101" t="s">
        <v>201</v>
      </c>
      <c r="J84" s="102" t="s">
        <v>202</v>
      </c>
      <c r="K84" s="101">
        <v>66</v>
      </c>
      <c r="L84" s="101" t="s">
        <v>176</v>
      </c>
      <c r="M84" s="102" t="s">
        <v>177</v>
      </c>
      <c r="N84" s="102"/>
      <c r="O84" s="103" t="s">
        <v>178</v>
      </c>
      <c r="P84" s="103" t="s">
        <v>179</v>
      </c>
    </row>
    <row r="85" spans="1:16" ht="12.75" customHeight="1" thickBot="1" x14ac:dyDescent="0.25">
      <c r="A85" s="16" t="str">
        <f t="shared" si="12"/>
        <v> MVS 7.151 </v>
      </c>
      <c r="B85" s="5" t="str">
        <f t="shared" si="13"/>
        <v>II</v>
      </c>
      <c r="C85" s="16">
        <f t="shared" si="14"/>
        <v>42816.474999999999</v>
      </c>
      <c r="D85" s="15" t="str">
        <f t="shared" si="15"/>
        <v>vis</v>
      </c>
      <c r="E85" s="100">
        <f>VLOOKUP(C85,Active!C$21:E$968,3,FALSE)</f>
        <v>10690.976102526272</v>
      </c>
      <c r="F85" s="5" t="s">
        <v>152</v>
      </c>
      <c r="G85" s="15" t="str">
        <f t="shared" si="16"/>
        <v>42816.475</v>
      </c>
      <c r="H85" s="16">
        <f t="shared" si="17"/>
        <v>10689.5</v>
      </c>
      <c r="I85" s="101" t="s">
        <v>203</v>
      </c>
      <c r="J85" s="102" t="s">
        <v>204</v>
      </c>
      <c r="K85" s="101">
        <v>10689.5</v>
      </c>
      <c r="L85" s="101" t="s">
        <v>205</v>
      </c>
      <c r="M85" s="102" t="s">
        <v>173</v>
      </c>
      <c r="N85" s="102"/>
      <c r="O85" s="103" t="s">
        <v>206</v>
      </c>
      <c r="P85" s="103" t="s">
        <v>207</v>
      </c>
    </row>
    <row r="86" spans="1:16" ht="12.75" customHeight="1" thickBot="1" x14ac:dyDescent="0.25">
      <c r="A86" s="16" t="str">
        <f t="shared" si="12"/>
        <v> AOEB 8 </v>
      </c>
      <c r="B86" s="5" t="str">
        <f t="shared" si="13"/>
        <v>II</v>
      </c>
      <c r="C86" s="16">
        <f t="shared" si="14"/>
        <v>44286.773000000001</v>
      </c>
      <c r="D86" s="15" t="str">
        <f t="shared" si="15"/>
        <v>vis</v>
      </c>
      <c r="E86" s="100">
        <f>VLOOKUP(C86,Active!C$21:E$968,3,FALSE)</f>
        <v>12039.989687184034</v>
      </c>
      <c r="F86" s="5" t="s">
        <v>152</v>
      </c>
      <c r="G86" s="15" t="str">
        <f t="shared" si="16"/>
        <v>44286.773</v>
      </c>
      <c r="H86" s="16">
        <f t="shared" si="17"/>
        <v>12038.5</v>
      </c>
      <c r="I86" s="101" t="s">
        <v>239</v>
      </c>
      <c r="J86" s="102" t="s">
        <v>240</v>
      </c>
      <c r="K86" s="101">
        <v>12038.5</v>
      </c>
      <c r="L86" s="101" t="s">
        <v>241</v>
      </c>
      <c r="M86" s="102" t="s">
        <v>177</v>
      </c>
      <c r="N86" s="102"/>
      <c r="O86" s="103" t="s">
        <v>242</v>
      </c>
      <c r="P86" s="103" t="s">
        <v>243</v>
      </c>
    </row>
    <row r="87" spans="1:16" ht="12.75" customHeight="1" thickBot="1" x14ac:dyDescent="0.25">
      <c r="A87" s="16" t="str">
        <f t="shared" si="12"/>
        <v> AOEB 8 </v>
      </c>
      <c r="B87" s="5" t="str">
        <f t="shared" si="13"/>
        <v>II</v>
      </c>
      <c r="C87" s="16">
        <f t="shared" si="14"/>
        <v>44660.625999999997</v>
      </c>
      <c r="D87" s="15" t="str">
        <f t="shared" si="15"/>
        <v>vis</v>
      </c>
      <c r="E87" s="100">
        <f>VLOOKUP(C87,Active!C$21:E$968,3,FALSE)</f>
        <v>12383.003671876288</v>
      </c>
      <c r="F87" s="5" t="s">
        <v>152</v>
      </c>
      <c r="G87" s="15" t="str">
        <f t="shared" si="16"/>
        <v>44660.626</v>
      </c>
      <c r="H87" s="16">
        <f t="shared" si="17"/>
        <v>12381.5</v>
      </c>
      <c r="I87" s="101" t="s">
        <v>253</v>
      </c>
      <c r="J87" s="102" t="s">
        <v>254</v>
      </c>
      <c r="K87" s="101">
        <v>12381.5</v>
      </c>
      <c r="L87" s="101" t="s">
        <v>255</v>
      </c>
      <c r="M87" s="102" t="s">
        <v>177</v>
      </c>
      <c r="N87" s="102"/>
      <c r="O87" s="103" t="s">
        <v>256</v>
      </c>
      <c r="P87" s="103" t="s">
        <v>243</v>
      </c>
    </row>
    <row r="88" spans="1:16" ht="12.75" customHeight="1" thickBot="1" x14ac:dyDescent="0.25">
      <c r="A88" s="16" t="str">
        <f t="shared" si="12"/>
        <v> AOEB 8 </v>
      </c>
      <c r="B88" s="5" t="str">
        <f t="shared" si="13"/>
        <v>II</v>
      </c>
      <c r="C88" s="16">
        <f t="shared" si="14"/>
        <v>45060.625999999997</v>
      </c>
      <c r="D88" s="15" t="str">
        <f t="shared" si="15"/>
        <v>vis</v>
      </c>
      <c r="E88" s="100">
        <f>VLOOKUP(C88,Active!C$21:E$968,3,FALSE)</f>
        <v>12750.007798837696</v>
      </c>
      <c r="F88" s="5" t="s">
        <v>152</v>
      </c>
      <c r="G88" s="15" t="str">
        <f t="shared" si="16"/>
        <v>45060.626</v>
      </c>
      <c r="H88" s="16">
        <f t="shared" si="17"/>
        <v>12748.5</v>
      </c>
      <c r="I88" s="101" t="s">
        <v>261</v>
      </c>
      <c r="J88" s="102" t="s">
        <v>262</v>
      </c>
      <c r="K88" s="101">
        <v>12748.5</v>
      </c>
      <c r="L88" s="101" t="s">
        <v>263</v>
      </c>
      <c r="M88" s="102" t="s">
        <v>177</v>
      </c>
      <c r="N88" s="102"/>
      <c r="O88" s="103" t="s">
        <v>256</v>
      </c>
      <c r="P88" s="103" t="s">
        <v>243</v>
      </c>
    </row>
    <row r="89" spans="1:16" ht="12.75" customHeight="1" thickBot="1" x14ac:dyDescent="0.25">
      <c r="A89" s="16" t="str">
        <f t="shared" si="12"/>
        <v> AOEB 8 </v>
      </c>
      <c r="B89" s="5" t="str">
        <f t="shared" si="13"/>
        <v>II</v>
      </c>
      <c r="C89" s="16">
        <f t="shared" si="14"/>
        <v>45753.781999999999</v>
      </c>
      <c r="D89" s="15" t="str">
        <f t="shared" si="15"/>
        <v>vis</v>
      </c>
      <c r="E89" s="100">
        <f>VLOOKUP(C89,Active!C$21:E$968,3,FALSE)</f>
        <v>13385.985580407851</v>
      </c>
      <c r="F89" s="5" t="s">
        <v>152</v>
      </c>
      <c r="G89" s="15" t="str">
        <f t="shared" si="16"/>
        <v>45753.782</v>
      </c>
      <c r="H89" s="16">
        <f t="shared" si="17"/>
        <v>13384.5</v>
      </c>
      <c r="I89" s="101" t="s">
        <v>264</v>
      </c>
      <c r="J89" s="102" t="s">
        <v>265</v>
      </c>
      <c r="K89" s="101">
        <v>13384.5</v>
      </c>
      <c r="L89" s="101" t="s">
        <v>266</v>
      </c>
      <c r="M89" s="102" t="s">
        <v>177</v>
      </c>
      <c r="N89" s="102"/>
      <c r="O89" s="103" t="s">
        <v>256</v>
      </c>
      <c r="P89" s="103" t="s">
        <v>243</v>
      </c>
    </row>
    <row r="90" spans="1:16" ht="12.75" customHeight="1" thickBot="1" x14ac:dyDescent="0.25">
      <c r="A90" s="16" t="str">
        <f t="shared" si="12"/>
        <v> BRNO 27 </v>
      </c>
      <c r="B90" s="5" t="str">
        <f t="shared" si="13"/>
        <v>II</v>
      </c>
      <c r="C90" s="16">
        <f t="shared" si="14"/>
        <v>46196.288999999997</v>
      </c>
      <c r="D90" s="15" t="str">
        <f t="shared" si="15"/>
        <v>vis</v>
      </c>
      <c r="E90" s="100">
        <f>VLOOKUP(C90,Active!C$21:E$968,3,FALSE)</f>
        <v>13791.990318431128</v>
      </c>
      <c r="F90" s="5" t="s">
        <v>152</v>
      </c>
      <c r="G90" s="15" t="str">
        <f t="shared" si="16"/>
        <v>46196.289</v>
      </c>
      <c r="H90" s="16">
        <f t="shared" si="17"/>
        <v>13790.5</v>
      </c>
      <c r="I90" s="101" t="s">
        <v>286</v>
      </c>
      <c r="J90" s="102" t="s">
        <v>287</v>
      </c>
      <c r="K90" s="101">
        <v>13790.5</v>
      </c>
      <c r="L90" s="101" t="s">
        <v>241</v>
      </c>
      <c r="M90" s="102" t="s">
        <v>177</v>
      </c>
      <c r="N90" s="102"/>
      <c r="O90" s="103" t="s">
        <v>247</v>
      </c>
      <c r="P90" s="103" t="s">
        <v>271</v>
      </c>
    </row>
    <row r="91" spans="1:16" ht="12.75" customHeight="1" thickBot="1" x14ac:dyDescent="0.25">
      <c r="A91" s="16" t="str">
        <f t="shared" si="12"/>
        <v> AOEB 8 </v>
      </c>
      <c r="B91" s="5" t="str">
        <f t="shared" si="13"/>
        <v>II</v>
      </c>
      <c r="C91" s="16">
        <f t="shared" si="14"/>
        <v>46820.769</v>
      </c>
      <c r="D91" s="15" t="str">
        <f t="shared" si="15"/>
        <v>vis</v>
      </c>
      <c r="E91" s="100">
        <f>VLOOKUP(C91,Active!C$21:E$968,3,FALSE)</f>
        <v>14364.957161443281</v>
      </c>
      <c r="F91" s="5" t="s">
        <v>152</v>
      </c>
      <c r="G91" s="15" t="str">
        <f t="shared" si="16"/>
        <v>46820.769</v>
      </c>
      <c r="H91" s="16">
        <f t="shared" si="17"/>
        <v>14363.5</v>
      </c>
      <c r="I91" s="101" t="s">
        <v>292</v>
      </c>
      <c r="J91" s="102" t="s">
        <v>293</v>
      </c>
      <c r="K91" s="101">
        <v>14363.5</v>
      </c>
      <c r="L91" s="101" t="s">
        <v>294</v>
      </c>
      <c r="M91" s="102" t="s">
        <v>177</v>
      </c>
      <c r="N91" s="102"/>
      <c r="O91" s="103" t="s">
        <v>256</v>
      </c>
      <c r="P91" s="103" t="s">
        <v>243</v>
      </c>
    </row>
    <row r="92" spans="1:16" ht="12.75" customHeight="1" thickBot="1" x14ac:dyDescent="0.25">
      <c r="A92" s="16" t="str">
        <f t="shared" si="12"/>
        <v> AOEB 8 </v>
      </c>
      <c r="B92" s="5" t="str">
        <f t="shared" si="13"/>
        <v>II</v>
      </c>
      <c r="C92" s="16">
        <f t="shared" si="14"/>
        <v>46915.631999999998</v>
      </c>
      <c r="D92" s="15" t="str">
        <f t="shared" si="15"/>
        <v>vis</v>
      </c>
      <c r="E92" s="100">
        <f>VLOOKUP(C92,Active!C$21:E$968,3,FALSE)</f>
        <v>14451.994942683128</v>
      </c>
      <c r="F92" s="5" t="s">
        <v>152</v>
      </c>
      <c r="G92" s="15" t="str">
        <f t="shared" si="16"/>
        <v>46915.632</v>
      </c>
      <c r="H92" s="16">
        <f t="shared" si="17"/>
        <v>14450.5</v>
      </c>
      <c r="I92" s="101" t="s">
        <v>295</v>
      </c>
      <c r="J92" s="102" t="s">
        <v>296</v>
      </c>
      <c r="K92" s="101">
        <v>14450.5</v>
      </c>
      <c r="L92" s="101" t="s">
        <v>297</v>
      </c>
      <c r="M92" s="102" t="s">
        <v>177</v>
      </c>
      <c r="N92" s="102"/>
      <c r="O92" s="103" t="s">
        <v>256</v>
      </c>
      <c r="P92" s="103" t="s">
        <v>243</v>
      </c>
    </row>
    <row r="93" spans="1:16" ht="12.75" customHeight="1" thickBot="1" x14ac:dyDescent="0.25">
      <c r="A93" s="16" t="str">
        <f t="shared" si="12"/>
        <v> AOEB 8 </v>
      </c>
      <c r="B93" s="5" t="str">
        <f t="shared" si="13"/>
        <v>II</v>
      </c>
      <c r="C93" s="16">
        <f t="shared" si="14"/>
        <v>49061.63</v>
      </c>
      <c r="D93" s="15" t="str">
        <f t="shared" si="15"/>
        <v>vis</v>
      </c>
      <c r="E93" s="100">
        <f>VLOOKUP(C93,Active!C$21:E$968,3,FALSE)</f>
        <v>16420.970248810445</v>
      </c>
      <c r="F93" s="5" t="s">
        <v>152</v>
      </c>
      <c r="G93" s="15" t="str">
        <f t="shared" si="16"/>
        <v>49061.630</v>
      </c>
      <c r="H93" s="16">
        <f t="shared" si="17"/>
        <v>16419.5</v>
      </c>
      <c r="I93" s="101" t="s">
        <v>314</v>
      </c>
      <c r="J93" s="102" t="s">
        <v>315</v>
      </c>
      <c r="K93" s="101">
        <v>16419.5</v>
      </c>
      <c r="L93" s="101" t="s">
        <v>307</v>
      </c>
      <c r="M93" s="102" t="s">
        <v>177</v>
      </c>
      <c r="N93" s="102"/>
      <c r="O93" s="103" t="s">
        <v>256</v>
      </c>
      <c r="P93" s="103" t="s">
        <v>243</v>
      </c>
    </row>
    <row r="94" spans="1:16" ht="12.75" customHeight="1" thickBot="1" x14ac:dyDescent="0.25">
      <c r="A94" s="16" t="str">
        <f t="shared" si="12"/>
        <v> AOEB 8 </v>
      </c>
      <c r="B94" s="5" t="str">
        <f t="shared" si="13"/>
        <v>II</v>
      </c>
      <c r="C94" s="16">
        <f t="shared" si="14"/>
        <v>49801.673999999999</v>
      </c>
      <c r="D94" s="15" t="str">
        <f t="shared" si="15"/>
        <v>vis</v>
      </c>
      <c r="E94" s="100">
        <f>VLOOKUP(C94,Active!C$21:E$968,3,FALSE)</f>
        <v>17099.968254143016</v>
      </c>
      <c r="F94" s="5" t="s">
        <v>152</v>
      </c>
      <c r="G94" s="15" t="str">
        <f t="shared" si="16"/>
        <v>49801.674</v>
      </c>
      <c r="H94" s="16">
        <f t="shared" si="17"/>
        <v>17098.5</v>
      </c>
      <c r="I94" s="101" t="s">
        <v>322</v>
      </c>
      <c r="J94" s="102" t="s">
        <v>323</v>
      </c>
      <c r="K94" s="101">
        <v>17098.5</v>
      </c>
      <c r="L94" s="101" t="s">
        <v>324</v>
      </c>
      <c r="M94" s="102" t="s">
        <v>177</v>
      </c>
      <c r="N94" s="102"/>
      <c r="O94" s="103" t="s">
        <v>256</v>
      </c>
      <c r="P94" s="103" t="s">
        <v>243</v>
      </c>
    </row>
    <row r="95" spans="1:16" ht="12.75" customHeight="1" thickBot="1" x14ac:dyDescent="0.25">
      <c r="A95" s="16" t="str">
        <f t="shared" si="12"/>
        <v> AOEB 8 </v>
      </c>
      <c r="B95" s="5" t="str">
        <f t="shared" si="13"/>
        <v>II</v>
      </c>
      <c r="C95" s="16">
        <f t="shared" si="14"/>
        <v>50164.631999999998</v>
      </c>
      <c r="D95" s="15" t="str">
        <f t="shared" si="15"/>
        <v>vis</v>
      </c>
      <c r="E95" s="100">
        <f>VLOOKUP(C95,Active!C$21:E$968,3,FALSE)</f>
        <v>17432.985963927164</v>
      </c>
      <c r="F95" s="5" t="s">
        <v>152</v>
      </c>
      <c r="G95" s="15" t="str">
        <f t="shared" si="16"/>
        <v>50164.632</v>
      </c>
      <c r="H95" s="16">
        <f t="shared" si="17"/>
        <v>17431.5</v>
      </c>
      <c r="I95" s="101" t="s">
        <v>331</v>
      </c>
      <c r="J95" s="102" t="s">
        <v>332</v>
      </c>
      <c r="K95" s="101">
        <v>17431.5</v>
      </c>
      <c r="L95" s="101" t="s">
        <v>333</v>
      </c>
      <c r="M95" s="102" t="s">
        <v>334</v>
      </c>
      <c r="N95" s="102" t="s">
        <v>335</v>
      </c>
      <c r="O95" s="103" t="s">
        <v>336</v>
      </c>
      <c r="P95" s="103" t="s">
        <v>243</v>
      </c>
    </row>
    <row r="96" spans="1:16" ht="12.75" customHeight="1" thickBot="1" x14ac:dyDescent="0.25">
      <c r="A96" s="16" t="str">
        <f t="shared" si="12"/>
        <v> BRNO 32 </v>
      </c>
      <c r="B96" s="5" t="str">
        <f t="shared" si="13"/>
        <v>II</v>
      </c>
      <c r="C96" s="16">
        <f t="shared" si="14"/>
        <v>50186.410199999998</v>
      </c>
      <c r="D96" s="15" t="str">
        <f t="shared" si="15"/>
        <v>vis</v>
      </c>
      <c r="E96" s="100">
        <f>VLOOKUP(C96,Active!C$21:E$968,3,FALSE)</f>
        <v>17452.96768712164</v>
      </c>
      <c r="F96" s="5" t="s">
        <v>152</v>
      </c>
      <c r="G96" s="15" t="str">
        <f t="shared" si="16"/>
        <v>50186.4102</v>
      </c>
      <c r="H96" s="16">
        <f t="shared" si="17"/>
        <v>17451.5</v>
      </c>
      <c r="I96" s="101" t="s">
        <v>337</v>
      </c>
      <c r="J96" s="102" t="s">
        <v>338</v>
      </c>
      <c r="K96" s="101">
        <v>17451.5</v>
      </c>
      <c r="L96" s="101" t="s">
        <v>339</v>
      </c>
      <c r="M96" s="102" t="s">
        <v>177</v>
      </c>
      <c r="N96" s="102"/>
      <c r="O96" s="103" t="s">
        <v>340</v>
      </c>
      <c r="P96" s="103" t="s">
        <v>341</v>
      </c>
    </row>
    <row r="97" spans="1:16" ht="12.75" customHeight="1" thickBot="1" x14ac:dyDescent="0.25">
      <c r="A97" s="16" t="str">
        <f t="shared" si="12"/>
        <v> BRNO 32 </v>
      </c>
      <c r="B97" s="5" t="str">
        <f t="shared" si="13"/>
        <v>II</v>
      </c>
      <c r="C97" s="16">
        <f t="shared" si="14"/>
        <v>50515.555699999997</v>
      </c>
      <c r="D97" s="15" t="str">
        <f t="shared" si="15"/>
        <v>vis</v>
      </c>
      <c r="E97" s="100">
        <f>VLOOKUP(C97,Active!C$21:E$968,3,FALSE)</f>
        <v>17754.962079298581</v>
      </c>
      <c r="F97" s="5" t="s">
        <v>152</v>
      </c>
      <c r="G97" s="15" t="str">
        <f t="shared" si="16"/>
        <v>50515.5557</v>
      </c>
      <c r="H97" s="16">
        <f t="shared" si="17"/>
        <v>17753.5</v>
      </c>
      <c r="I97" s="101" t="s">
        <v>347</v>
      </c>
      <c r="J97" s="102" t="s">
        <v>348</v>
      </c>
      <c r="K97" s="101">
        <v>17753.5</v>
      </c>
      <c r="L97" s="101" t="s">
        <v>349</v>
      </c>
      <c r="M97" s="102" t="s">
        <v>177</v>
      </c>
      <c r="N97" s="102"/>
      <c r="O97" s="103" t="s">
        <v>350</v>
      </c>
      <c r="P97" s="103" t="s">
        <v>341</v>
      </c>
    </row>
    <row r="98" spans="1:16" ht="12.75" customHeight="1" thickBot="1" x14ac:dyDescent="0.25">
      <c r="A98" s="16" t="str">
        <f t="shared" si="12"/>
        <v> AOEB 8 </v>
      </c>
      <c r="B98" s="5" t="str">
        <f t="shared" si="13"/>
        <v>II</v>
      </c>
      <c r="C98" s="16">
        <f t="shared" si="14"/>
        <v>51995.635900000001</v>
      </c>
      <c r="D98" s="15" t="str">
        <f t="shared" si="15"/>
        <v>vis</v>
      </c>
      <c r="E98" s="100">
        <f>VLOOKUP(C98,Active!C$21:E$968,3,FALSE)</f>
        <v>19112.950933383247</v>
      </c>
      <c r="F98" s="5" t="s">
        <v>152</v>
      </c>
      <c r="G98" s="15" t="str">
        <f t="shared" si="16"/>
        <v>51995.6359</v>
      </c>
      <c r="H98" s="16">
        <f t="shared" si="17"/>
        <v>19111.5</v>
      </c>
      <c r="I98" s="101" t="s">
        <v>364</v>
      </c>
      <c r="J98" s="102" t="s">
        <v>365</v>
      </c>
      <c r="K98" s="101">
        <v>19111.5</v>
      </c>
      <c r="L98" s="101" t="s">
        <v>366</v>
      </c>
      <c r="M98" s="102" t="s">
        <v>334</v>
      </c>
      <c r="N98" s="102" t="s">
        <v>335</v>
      </c>
      <c r="O98" s="103" t="s">
        <v>367</v>
      </c>
      <c r="P98" s="103" t="s">
        <v>243</v>
      </c>
    </row>
    <row r="99" spans="1:16" ht="12.75" customHeight="1" thickBot="1" x14ac:dyDescent="0.25">
      <c r="A99" s="16" t="str">
        <f t="shared" si="12"/>
        <v> AOEB 8 </v>
      </c>
      <c r="B99" s="5" t="str">
        <f t="shared" si="13"/>
        <v>II</v>
      </c>
      <c r="C99" s="16">
        <f t="shared" si="14"/>
        <v>51997.800999999999</v>
      </c>
      <c r="D99" s="15" t="str">
        <f t="shared" si="15"/>
        <v>vis</v>
      </c>
      <c r="E99" s="100">
        <f>VLOOKUP(C99,Active!C$21:E$968,3,FALSE)</f>
        <v>19114.937434971456</v>
      </c>
      <c r="F99" s="5" t="s">
        <v>152</v>
      </c>
      <c r="G99" s="15" t="str">
        <f t="shared" si="16"/>
        <v>51997.801</v>
      </c>
      <c r="H99" s="16">
        <f t="shared" si="17"/>
        <v>19113.5</v>
      </c>
      <c r="I99" s="101" t="s">
        <v>368</v>
      </c>
      <c r="J99" s="102" t="s">
        <v>369</v>
      </c>
      <c r="K99" s="101">
        <v>19113.5</v>
      </c>
      <c r="L99" s="101" t="s">
        <v>370</v>
      </c>
      <c r="M99" s="102" t="s">
        <v>177</v>
      </c>
      <c r="N99" s="102"/>
      <c r="O99" s="103" t="s">
        <v>371</v>
      </c>
      <c r="P99" s="103" t="s">
        <v>243</v>
      </c>
    </row>
    <row r="100" spans="1:16" ht="12.75" customHeight="1" thickBot="1" x14ac:dyDescent="0.25">
      <c r="A100" s="16" t="str">
        <f t="shared" si="12"/>
        <v> AOEB 8 </v>
      </c>
      <c r="B100" s="5" t="str">
        <f t="shared" si="13"/>
        <v>II</v>
      </c>
      <c r="C100" s="16">
        <f t="shared" si="14"/>
        <v>52007.624799999998</v>
      </c>
      <c r="D100" s="15" t="str">
        <f t="shared" si="15"/>
        <v>vis</v>
      </c>
      <c r="E100" s="100">
        <f>VLOOKUP(C100,Active!C$21:E$968,3,FALSE)</f>
        <v>19123.950872827561</v>
      </c>
      <c r="F100" s="5" t="s">
        <v>152</v>
      </c>
      <c r="G100" s="15" t="str">
        <f t="shared" si="16"/>
        <v>52007.6248</v>
      </c>
      <c r="H100" s="16">
        <f t="shared" si="17"/>
        <v>19122.5</v>
      </c>
      <c r="I100" s="101" t="s">
        <v>372</v>
      </c>
      <c r="J100" s="102" t="s">
        <v>373</v>
      </c>
      <c r="K100" s="101">
        <v>19122.5</v>
      </c>
      <c r="L100" s="101" t="s">
        <v>374</v>
      </c>
      <c r="M100" s="102" t="s">
        <v>334</v>
      </c>
      <c r="N100" s="102" t="s">
        <v>335</v>
      </c>
      <c r="O100" s="103" t="s">
        <v>375</v>
      </c>
      <c r="P100" s="103" t="s">
        <v>243</v>
      </c>
    </row>
    <row r="101" spans="1:16" ht="12.75" customHeight="1" thickBot="1" x14ac:dyDescent="0.25">
      <c r="A101" s="16" t="str">
        <f t="shared" si="12"/>
        <v> BBS 127 </v>
      </c>
      <c r="B101" s="5" t="str">
        <f t="shared" si="13"/>
        <v>II</v>
      </c>
      <c r="C101" s="16">
        <f t="shared" si="14"/>
        <v>52344.404000000002</v>
      </c>
      <c r="D101" s="15" t="str">
        <f t="shared" si="15"/>
        <v>vis</v>
      </c>
      <c r="E101" s="100">
        <f>VLOOKUP(C101,Active!C$21:E$968,3,FALSE)</f>
        <v>19432.949263514471</v>
      </c>
      <c r="F101" s="5" t="s">
        <v>152</v>
      </c>
      <c r="G101" s="15" t="str">
        <f t="shared" si="16"/>
        <v>52344.404</v>
      </c>
      <c r="H101" s="16">
        <f t="shared" si="17"/>
        <v>19431.5</v>
      </c>
      <c r="I101" s="101" t="s">
        <v>376</v>
      </c>
      <c r="J101" s="102" t="s">
        <v>377</v>
      </c>
      <c r="K101" s="101">
        <v>19431.5</v>
      </c>
      <c r="L101" s="101" t="s">
        <v>378</v>
      </c>
      <c r="M101" s="102" t="s">
        <v>319</v>
      </c>
      <c r="N101" s="102" t="s">
        <v>320</v>
      </c>
      <c r="O101" s="103" t="s">
        <v>358</v>
      </c>
      <c r="P101" s="103" t="s">
        <v>379</v>
      </c>
    </row>
    <row r="102" spans="1:16" ht="12.75" customHeight="1" thickBot="1" x14ac:dyDescent="0.25">
      <c r="A102" s="16" t="str">
        <f t="shared" si="12"/>
        <v> AOEB 8 </v>
      </c>
      <c r="B102" s="5" t="str">
        <f t="shared" si="13"/>
        <v>II</v>
      </c>
      <c r="C102" s="16">
        <f t="shared" si="14"/>
        <v>52371.652099999999</v>
      </c>
      <c r="D102" s="15" t="str">
        <f t="shared" si="15"/>
        <v>vis</v>
      </c>
      <c r="E102" s="100">
        <f>VLOOKUP(C102,Active!C$21:E$968,3,FALSE)</f>
        <v>19457.94967639411</v>
      </c>
      <c r="F102" s="5" t="s">
        <v>152</v>
      </c>
      <c r="G102" s="15" t="str">
        <f t="shared" si="16"/>
        <v>52371.6521</v>
      </c>
      <c r="H102" s="16">
        <f t="shared" si="17"/>
        <v>19456.5</v>
      </c>
      <c r="I102" s="101" t="s">
        <v>380</v>
      </c>
      <c r="J102" s="102" t="s">
        <v>381</v>
      </c>
      <c r="K102" s="101">
        <v>19456.5</v>
      </c>
      <c r="L102" s="101" t="s">
        <v>382</v>
      </c>
      <c r="M102" s="102" t="s">
        <v>334</v>
      </c>
      <c r="N102" s="102" t="s">
        <v>335</v>
      </c>
      <c r="O102" s="103" t="s">
        <v>383</v>
      </c>
      <c r="P102" s="103" t="s">
        <v>243</v>
      </c>
    </row>
    <row r="103" spans="1:16" ht="12.75" customHeight="1" thickBot="1" x14ac:dyDescent="0.25">
      <c r="A103" s="16" t="str">
        <f t="shared" si="12"/>
        <v>VSB 40 </v>
      </c>
      <c r="B103" s="5" t="str">
        <f t="shared" si="13"/>
        <v>II</v>
      </c>
      <c r="C103" s="16">
        <f t="shared" si="14"/>
        <v>52634.317600000002</v>
      </c>
      <c r="D103" s="15" t="str">
        <f t="shared" si="15"/>
        <v>vis</v>
      </c>
      <c r="E103" s="100">
        <f>VLOOKUP(C103,Active!C$21:E$968,3,FALSE)</f>
        <v>19698.947982670066</v>
      </c>
      <c r="F103" s="5" t="s">
        <v>152</v>
      </c>
      <c r="G103" s="15" t="str">
        <f t="shared" si="16"/>
        <v>52634.3176</v>
      </c>
      <c r="H103" s="16">
        <f t="shared" si="17"/>
        <v>19697.5</v>
      </c>
      <c r="I103" s="101" t="s">
        <v>384</v>
      </c>
      <c r="J103" s="102" t="s">
        <v>385</v>
      </c>
      <c r="K103" s="101">
        <v>19697.5</v>
      </c>
      <c r="L103" s="101" t="s">
        <v>386</v>
      </c>
      <c r="M103" s="102" t="s">
        <v>319</v>
      </c>
      <c r="N103" s="102" t="s">
        <v>320</v>
      </c>
      <c r="O103" s="103" t="s">
        <v>387</v>
      </c>
      <c r="P103" s="104" t="s">
        <v>388</v>
      </c>
    </row>
    <row r="104" spans="1:16" ht="12.75" customHeight="1" thickBot="1" x14ac:dyDescent="0.25">
      <c r="A104" s="16" t="str">
        <f t="shared" si="12"/>
        <v> AOEB 8 </v>
      </c>
      <c r="B104" s="5" t="str">
        <f t="shared" si="13"/>
        <v>II</v>
      </c>
      <c r="C104" s="16">
        <f t="shared" si="14"/>
        <v>52651.758300000001</v>
      </c>
      <c r="D104" s="15" t="str">
        <f t="shared" si="15"/>
        <v>vis</v>
      </c>
      <c r="E104" s="100">
        <f>VLOOKUP(C104,Active!C$21:E$968,3,FALSE)</f>
        <v>19714.950004862807</v>
      </c>
      <c r="F104" s="5" t="s">
        <v>152</v>
      </c>
      <c r="G104" s="15" t="str">
        <f t="shared" si="16"/>
        <v>52651.7583</v>
      </c>
      <c r="H104" s="16">
        <f t="shared" si="17"/>
        <v>19713.5</v>
      </c>
      <c r="I104" s="101" t="s">
        <v>395</v>
      </c>
      <c r="J104" s="102" t="s">
        <v>396</v>
      </c>
      <c r="K104" s="101" t="s">
        <v>397</v>
      </c>
      <c r="L104" s="101" t="s">
        <v>398</v>
      </c>
      <c r="M104" s="102" t="s">
        <v>334</v>
      </c>
      <c r="N104" s="102" t="s">
        <v>335</v>
      </c>
      <c r="O104" s="103" t="s">
        <v>256</v>
      </c>
      <c r="P104" s="103" t="s">
        <v>243</v>
      </c>
    </row>
    <row r="105" spans="1:16" ht="12.75" customHeight="1" thickBot="1" x14ac:dyDescent="0.25">
      <c r="A105" s="16" t="str">
        <f t="shared" si="12"/>
        <v> AOEB 12 </v>
      </c>
      <c r="B105" s="5" t="str">
        <f t="shared" si="13"/>
        <v>II</v>
      </c>
      <c r="C105" s="16">
        <f t="shared" si="14"/>
        <v>52734.608</v>
      </c>
      <c r="D105" s="15" t="str">
        <f t="shared" si="15"/>
        <v>vis</v>
      </c>
      <c r="E105" s="100">
        <f>VLOOKUP(C105,Active!C$21:E$968,3,FALSE)</f>
        <v>19790.965459406591</v>
      </c>
      <c r="F105" s="5" t="s">
        <v>152</v>
      </c>
      <c r="G105" s="15" t="str">
        <f t="shared" si="16"/>
        <v>52734.608</v>
      </c>
      <c r="H105" s="16">
        <f t="shared" si="17"/>
        <v>19789.5</v>
      </c>
      <c r="I105" s="101" t="s">
        <v>404</v>
      </c>
      <c r="J105" s="102" t="s">
        <v>405</v>
      </c>
      <c r="K105" s="101" t="s">
        <v>406</v>
      </c>
      <c r="L105" s="101" t="s">
        <v>407</v>
      </c>
      <c r="M105" s="102" t="s">
        <v>177</v>
      </c>
      <c r="N105" s="102"/>
      <c r="O105" s="103" t="s">
        <v>408</v>
      </c>
      <c r="P105" s="103" t="s">
        <v>409</v>
      </c>
    </row>
    <row r="106" spans="1:16" ht="12.75" customHeight="1" thickBot="1" x14ac:dyDescent="0.25">
      <c r="A106" s="16" t="str">
        <f t="shared" si="12"/>
        <v> AOEB 8 </v>
      </c>
      <c r="B106" s="5" t="str">
        <f t="shared" si="13"/>
        <v>II</v>
      </c>
      <c r="C106" s="16">
        <f t="shared" si="14"/>
        <v>52735.677000000003</v>
      </c>
      <c r="D106" s="15" t="str">
        <f t="shared" si="15"/>
        <v>vis</v>
      </c>
      <c r="E106" s="100">
        <f>VLOOKUP(C106,Active!C$21:E$968,3,FALSE)</f>
        <v>19791.946277935898</v>
      </c>
      <c r="F106" s="5" t="s">
        <v>152</v>
      </c>
      <c r="G106" s="15" t="str">
        <f t="shared" si="16"/>
        <v>52735.6770</v>
      </c>
      <c r="H106" s="16">
        <f t="shared" si="17"/>
        <v>19790.5</v>
      </c>
      <c r="I106" s="101" t="s">
        <v>410</v>
      </c>
      <c r="J106" s="102" t="s">
        <v>411</v>
      </c>
      <c r="K106" s="101" t="s">
        <v>412</v>
      </c>
      <c r="L106" s="101" t="s">
        <v>413</v>
      </c>
      <c r="M106" s="102" t="s">
        <v>334</v>
      </c>
      <c r="N106" s="102" t="s">
        <v>335</v>
      </c>
      <c r="O106" s="103" t="s">
        <v>367</v>
      </c>
      <c r="P106" s="103" t="s">
        <v>243</v>
      </c>
    </row>
    <row r="107" spans="1:16" ht="12.75" customHeight="1" thickBot="1" x14ac:dyDescent="0.25">
      <c r="A107" s="16" t="str">
        <f t="shared" ref="A107:A115" si="18">P107</f>
        <v> AOEB 8 </v>
      </c>
      <c r="B107" s="5" t="str">
        <f t="shared" ref="B107:B115" si="19">IF(H107=INT(H107),"I","II")</f>
        <v>II</v>
      </c>
      <c r="C107" s="16">
        <f t="shared" ref="C107:C115" si="20">1*G107</f>
        <v>52783.635999999999</v>
      </c>
      <c r="D107" s="15" t="str">
        <f t="shared" ref="D107:D115" si="21">VLOOKUP(F107,I$1:J$5,2,FALSE)</f>
        <v>vis</v>
      </c>
      <c r="E107" s="100">
        <f>VLOOKUP(C107,Active!C$21:E$968,3,FALSE)</f>
        <v>19835.94915524825</v>
      </c>
      <c r="F107" s="5" t="s">
        <v>152</v>
      </c>
      <c r="G107" s="15" t="str">
        <f t="shared" ref="G107:G115" si="22">MID(I107,3,LEN(I107)-3)</f>
        <v>52783.636</v>
      </c>
      <c r="H107" s="16">
        <f t="shared" ref="H107:H115" si="23">1*K107</f>
        <v>19834.5</v>
      </c>
      <c r="I107" s="101" t="s">
        <v>414</v>
      </c>
      <c r="J107" s="102" t="s">
        <v>415</v>
      </c>
      <c r="K107" s="101" t="s">
        <v>416</v>
      </c>
      <c r="L107" s="101" t="s">
        <v>417</v>
      </c>
      <c r="M107" s="102" t="s">
        <v>334</v>
      </c>
      <c r="N107" s="102" t="s">
        <v>335</v>
      </c>
      <c r="O107" s="103" t="s">
        <v>256</v>
      </c>
      <c r="P107" s="103" t="s">
        <v>243</v>
      </c>
    </row>
    <row r="108" spans="1:16" ht="12.75" customHeight="1" thickBot="1" x14ac:dyDescent="0.25">
      <c r="A108" s="16" t="str">
        <f t="shared" si="18"/>
        <v>VSB 43 </v>
      </c>
      <c r="B108" s="5" t="str">
        <f t="shared" si="19"/>
        <v>II</v>
      </c>
      <c r="C108" s="16">
        <f t="shared" si="20"/>
        <v>53325.317900000002</v>
      </c>
      <c r="D108" s="15" t="str">
        <f t="shared" si="21"/>
        <v>vis</v>
      </c>
      <c r="E108" s="100">
        <f>VLOOKUP(C108,Active!C$21:E$968,3,FALSE)</f>
        <v>20332.947887248993</v>
      </c>
      <c r="F108" s="5" t="s">
        <v>152</v>
      </c>
      <c r="G108" s="15" t="str">
        <f t="shared" si="22"/>
        <v>53325.3179</v>
      </c>
      <c r="H108" s="16">
        <f t="shared" si="23"/>
        <v>20331.5</v>
      </c>
      <c r="I108" s="101" t="s">
        <v>438</v>
      </c>
      <c r="J108" s="102" t="s">
        <v>439</v>
      </c>
      <c r="K108" s="101" t="s">
        <v>440</v>
      </c>
      <c r="L108" s="101" t="s">
        <v>441</v>
      </c>
      <c r="M108" s="102" t="s">
        <v>319</v>
      </c>
      <c r="N108" s="102" t="s">
        <v>320</v>
      </c>
      <c r="O108" s="103" t="s">
        <v>442</v>
      </c>
      <c r="P108" s="104" t="s">
        <v>443</v>
      </c>
    </row>
    <row r="109" spans="1:16" ht="12.75" customHeight="1" thickBot="1" x14ac:dyDescent="0.25">
      <c r="A109" s="16" t="str">
        <f t="shared" si="18"/>
        <v>VSB 44 </v>
      </c>
      <c r="B109" s="5" t="str">
        <f t="shared" si="19"/>
        <v>II</v>
      </c>
      <c r="C109" s="16">
        <f t="shared" si="20"/>
        <v>53373.274899999997</v>
      </c>
      <c r="D109" s="15" t="str">
        <f t="shared" si="21"/>
        <v>vis</v>
      </c>
      <c r="E109" s="100">
        <f>VLOOKUP(C109,Active!C$21:E$968,3,FALSE)</f>
        <v>20376.948929540711</v>
      </c>
      <c r="F109" s="5" t="s">
        <v>152</v>
      </c>
      <c r="G109" s="15" t="str">
        <f t="shared" si="22"/>
        <v>53373.2749</v>
      </c>
      <c r="H109" s="16">
        <f t="shared" si="23"/>
        <v>20375.5</v>
      </c>
      <c r="I109" s="101" t="s">
        <v>444</v>
      </c>
      <c r="J109" s="102" t="s">
        <v>445</v>
      </c>
      <c r="K109" s="101" t="s">
        <v>446</v>
      </c>
      <c r="L109" s="101" t="s">
        <v>447</v>
      </c>
      <c r="M109" s="102" t="s">
        <v>319</v>
      </c>
      <c r="N109" s="102" t="s">
        <v>320</v>
      </c>
      <c r="O109" s="103" t="s">
        <v>442</v>
      </c>
      <c r="P109" s="104" t="s">
        <v>448</v>
      </c>
    </row>
    <row r="110" spans="1:16" ht="12.75" customHeight="1" thickBot="1" x14ac:dyDescent="0.25">
      <c r="A110" s="16" t="str">
        <f t="shared" si="18"/>
        <v>VSB 44 </v>
      </c>
      <c r="B110" s="5" t="str">
        <f t="shared" si="19"/>
        <v>II</v>
      </c>
      <c r="C110" s="16">
        <f t="shared" si="20"/>
        <v>53701.327499999999</v>
      </c>
      <c r="D110" s="15" t="str">
        <f t="shared" si="21"/>
        <v>PE</v>
      </c>
      <c r="E110" s="100">
        <f>VLOOKUP(C110,Active!C$21:E$968,3,FALSE)</f>
        <v>20677.940574691762</v>
      </c>
      <c r="F110" s="5" t="str">
        <f>LEFT(M110,1)</f>
        <v>E</v>
      </c>
      <c r="G110" s="15" t="str">
        <f t="shared" si="22"/>
        <v>53701.3275</v>
      </c>
      <c r="H110" s="16">
        <f t="shared" si="23"/>
        <v>20676.5</v>
      </c>
      <c r="I110" s="101" t="s">
        <v>470</v>
      </c>
      <c r="J110" s="102" t="s">
        <v>471</v>
      </c>
      <c r="K110" s="101" t="s">
        <v>472</v>
      </c>
      <c r="L110" s="101" t="s">
        <v>473</v>
      </c>
      <c r="M110" s="102" t="s">
        <v>319</v>
      </c>
      <c r="N110" s="102" t="s">
        <v>320</v>
      </c>
      <c r="O110" s="103" t="s">
        <v>474</v>
      </c>
      <c r="P110" s="104" t="s">
        <v>448</v>
      </c>
    </row>
    <row r="111" spans="1:16" ht="12.75" customHeight="1" thickBot="1" x14ac:dyDescent="0.25">
      <c r="A111" s="16" t="str">
        <f t="shared" si="18"/>
        <v>OEJV 0107 </v>
      </c>
      <c r="B111" s="5" t="str">
        <f t="shared" si="19"/>
        <v>II</v>
      </c>
      <c r="C111" s="16">
        <f t="shared" si="20"/>
        <v>54116.577400000002</v>
      </c>
      <c r="D111" s="15" t="str">
        <f t="shared" si="21"/>
        <v>vis</v>
      </c>
      <c r="E111" s="100">
        <f>VLOOKUP(C111,Active!C$21:E$968,3,FALSE)</f>
        <v>21058.936642242545</v>
      </c>
      <c r="F111" s="5" t="s">
        <v>152</v>
      </c>
      <c r="G111" s="15" t="str">
        <f t="shared" si="22"/>
        <v>54116.5774</v>
      </c>
      <c r="H111" s="16">
        <f t="shared" si="23"/>
        <v>21057.5</v>
      </c>
      <c r="I111" s="101" t="s">
        <v>489</v>
      </c>
      <c r="J111" s="102" t="s">
        <v>490</v>
      </c>
      <c r="K111" s="101" t="s">
        <v>491</v>
      </c>
      <c r="L111" s="101" t="s">
        <v>492</v>
      </c>
      <c r="M111" s="102" t="s">
        <v>334</v>
      </c>
      <c r="N111" s="102" t="s">
        <v>128</v>
      </c>
      <c r="O111" s="103" t="s">
        <v>493</v>
      </c>
      <c r="P111" s="104" t="s">
        <v>494</v>
      </c>
    </row>
    <row r="112" spans="1:16" ht="12.75" customHeight="1" thickBot="1" x14ac:dyDescent="0.25">
      <c r="A112" s="16" t="str">
        <f t="shared" si="18"/>
        <v> AOEB 12 </v>
      </c>
      <c r="B112" s="5" t="str">
        <f t="shared" si="19"/>
        <v>II</v>
      </c>
      <c r="C112" s="16">
        <f t="shared" si="20"/>
        <v>54141.645199999999</v>
      </c>
      <c r="D112" s="15" t="str">
        <f t="shared" si="21"/>
        <v>vis</v>
      </c>
      <c r="E112" s="100">
        <f>VLOOKUP(C112,Active!C$21:E$968,3,FALSE)</f>
        <v>21081.936607377149</v>
      </c>
      <c r="F112" s="5" t="s">
        <v>152</v>
      </c>
      <c r="G112" s="15" t="str">
        <f t="shared" si="22"/>
        <v>54141.6452</v>
      </c>
      <c r="H112" s="16">
        <f t="shared" si="23"/>
        <v>21080.5</v>
      </c>
      <c r="I112" s="101" t="s">
        <v>495</v>
      </c>
      <c r="J112" s="102" t="s">
        <v>496</v>
      </c>
      <c r="K112" s="101" t="s">
        <v>497</v>
      </c>
      <c r="L112" s="101" t="s">
        <v>492</v>
      </c>
      <c r="M112" s="102" t="s">
        <v>334</v>
      </c>
      <c r="N112" s="102" t="s">
        <v>335</v>
      </c>
      <c r="O112" s="103" t="s">
        <v>256</v>
      </c>
      <c r="P112" s="103" t="s">
        <v>409</v>
      </c>
    </row>
    <row r="113" spans="1:16" ht="12.75" customHeight="1" thickBot="1" x14ac:dyDescent="0.25">
      <c r="A113" s="16" t="str">
        <f t="shared" si="18"/>
        <v>BAVM 203 </v>
      </c>
      <c r="B113" s="5" t="str">
        <f t="shared" si="19"/>
        <v>II</v>
      </c>
      <c r="C113" s="16">
        <f t="shared" si="20"/>
        <v>54174.342700000001</v>
      </c>
      <c r="D113" s="15" t="str">
        <f t="shared" si="21"/>
        <v>vis</v>
      </c>
      <c r="E113" s="100">
        <f>VLOOKUP(C113,Active!C$21:E$968,3,FALSE)</f>
        <v>21111.936900980454</v>
      </c>
      <c r="F113" s="5" t="s">
        <v>152</v>
      </c>
      <c r="G113" s="15" t="str">
        <f t="shared" si="22"/>
        <v>54174.3427</v>
      </c>
      <c r="H113" s="16">
        <f t="shared" si="23"/>
        <v>21110.5</v>
      </c>
      <c r="I113" s="101" t="s">
        <v>498</v>
      </c>
      <c r="J113" s="102" t="s">
        <v>499</v>
      </c>
      <c r="K113" s="101" t="s">
        <v>500</v>
      </c>
      <c r="L113" s="101" t="s">
        <v>501</v>
      </c>
      <c r="M113" s="102" t="s">
        <v>334</v>
      </c>
      <c r="N113" s="102" t="s">
        <v>328</v>
      </c>
      <c r="O113" s="103" t="s">
        <v>502</v>
      </c>
      <c r="P113" s="104" t="s">
        <v>503</v>
      </c>
    </row>
    <row r="114" spans="1:16" ht="12.75" customHeight="1" thickBot="1" x14ac:dyDescent="0.25">
      <c r="A114" s="16" t="str">
        <f t="shared" si="18"/>
        <v> AOEB 12 </v>
      </c>
      <c r="B114" s="5" t="str">
        <f t="shared" si="19"/>
        <v>II</v>
      </c>
      <c r="C114" s="16">
        <f t="shared" si="20"/>
        <v>54179.793700000002</v>
      </c>
      <c r="D114" s="15" t="str">
        <f t="shared" si="21"/>
        <v>vis</v>
      </c>
      <c r="E114" s="100">
        <f>VLOOKUP(C114,Active!C$21:E$968,3,FALSE)</f>
        <v>21116.938249720621</v>
      </c>
      <c r="F114" s="5" t="s">
        <v>152</v>
      </c>
      <c r="G114" s="15" t="str">
        <f t="shared" si="22"/>
        <v>54179.7937</v>
      </c>
      <c r="H114" s="16">
        <f t="shared" si="23"/>
        <v>21115.5</v>
      </c>
      <c r="I114" s="101" t="s">
        <v>504</v>
      </c>
      <c r="J114" s="102" t="s">
        <v>505</v>
      </c>
      <c r="K114" s="101" t="s">
        <v>506</v>
      </c>
      <c r="L114" s="101" t="s">
        <v>507</v>
      </c>
      <c r="M114" s="102" t="s">
        <v>334</v>
      </c>
      <c r="N114" s="102" t="s">
        <v>335</v>
      </c>
      <c r="O114" s="103" t="s">
        <v>508</v>
      </c>
      <c r="P114" s="103" t="s">
        <v>409</v>
      </c>
    </row>
    <row r="115" spans="1:16" ht="12.75" customHeight="1" thickBot="1" x14ac:dyDescent="0.25">
      <c r="A115" s="16" t="str">
        <f t="shared" si="18"/>
        <v> JAAVSO 43-1 </v>
      </c>
      <c r="B115" s="5" t="str">
        <f t="shared" si="19"/>
        <v>II</v>
      </c>
      <c r="C115" s="16">
        <f t="shared" si="20"/>
        <v>57017.917200000004</v>
      </c>
      <c r="D115" s="15" t="str">
        <f t="shared" si="21"/>
        <v>vis</v>
      </c>
      <c r="E115" s="100">
        <f>VLOOKUP(C115,Active!C$21:E$968,3,FALSE)</f>
        <v>23720.94584303601</v>
      </c>
      <c r="F115" s="5" t="s">
        <v>152</v>
      </c>
      <c r="G115" s="15" t="str">
        <f t="shared" si="22"/>
        <v>57017.9172</v>
      </c>
      <c r="H115" s="16">
        <f t="shared" si="23"/>
        <v>23719.5</v>
      </c>
      <c r="I115" s="101" t="s">
        <v>614</v>
      </c>
      <c r="J115" s="102" t="s">
        <v>615</v>
      </c>
      <c r="K115" s="101">
        <v>23719.5</v>
      </c>
      <c r="L115" s="101" t="s">
        <v>616</v>
      </c>
      <c r="M115" s="102" t="s">
        <v>334</v>
      </c>
      <c r="N115" s="102" t="s">
        <v>152</v>
      </c>
      <c r="O115" s="103" t="s">
        <v>547</v>
      </c>
      <c r="P115" s="103" t="s">
        <v>617</v>
      </c>
    </row>
    <row r="116" spans="1:16" x14ac:dyDescent="0.2">
      <c r="B116" s="5"/>
      <c r="E116" s="100"/>
      <c r="F116" s="5"/>
    </row>
    <row r="117" spans="1:16" x14ac:dyDescent="0.2">
      <c r="B117" s="5"/>
      <c r="E117" s="100"/>
      <c r="F117" s="5"/>
    </row>
    <row r="118" spans="1:16" x14ac:dyDescent="0.2">
      <c r="B118" s="5"/>
      <c r="F118" s="5"/>
    </row>
    <row r="119" spans="1:16" x14ac:dyDescent="0.2">
      <c r="B119" s="5"/>
      <c r="F119" s="5"/>
    </row>
    <row r="120" spans="1:16" x14ac:dyDescent="0.2">
      <c r="B120" s="5"/>
      <c r="F120" s="5"/>
    </row>
    <row r="121" spans="1:16" x14ac:dyDescent="0.2">
      <c r="B121" s="5"/>
      <c r="F121" s="5"/>
    </row>
    <row r="122" spans="1:16" x14ac:dyDescent="0.2">
      <c r="B122" s="5"/>
      <c r="F122" s="5"/>
    </row>
    <row r="123" spans="1:16" x14ac:dyDescent="0.2">
      <c r="B123" s="5"/>
      <c r="F123" s="5"/>
    </row>
    <row r="124" spans="1:16" x14ac:dyDescent="0.2">
      <c r="B124" s="5"/>
      <c r="F124" s="5"/>
    </row>
    <row r="125" spans="1:16" x14ac:dyDescent="0.2">
      <c r="B125" s="5"/>
      <c r="F125" s="5"/>
    </row>
    <row r="126" spans="1:16" x14ac:dyDescent="0.2">
      <c r="B126" s="5"/>
      <c r="F126" s="5"/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</sheetData>
  <phoneticPr fontId="8" type="noConversion"/>
  <hyperlinks>
    <hyperlink ref="P28" r:id="rId1" display="http://www.bav-astro.de/sfs/BAVM_link.php?BAVMnr=52"/>
    <hyperlink ref="P29" r:id="rId2" display="http://www.bav-astro.de/sfs/BAVM_link.php?BAVMnr=52"/>
    <hyperlink ref="P30" r:id="rId3" display="http://www.bav-astro.de/sfs/BAVM_link.php?BAVMnr=56"/>
    <hyperlink ref="P33" r:id="rId4" display="http://www.bav-astro.de/sfs/BAVM_link.php?BAVMnr=91"/>
    <hyperlink ref="P35" r:id="rId5" display="http://www.konkoly.hu/cgi-bin/IBVS?4888"/>
    <hyperlink ref="P37" r:id="rId6" display="http://www.konkoly.hu/cgi-bin/IBVS?5263"/>
    <hyperlink ref="P103" r:id="rId7" display="http://vsolj.cetus-net.org/no40.pdf"/>
    <hyperlink ref="P38" r:id="rId8" display="http://www.bav-astro.de/sfs/BAVM_link.php?BAVMnr=172"/>
    <hyperlink ref="P39" r:id="rId9" display="http://www.bav-astro.de/sfs/BAVM_link.php?BAVMnr=172"/>
    <hyperlink ref="P40" r:id="rId10" display="http://www.konkoly.hu/cgi-bin/IBVS?5602"/>
    <hyperlink ref="P41" r:id="rId11" display="http://www.bav-astro.de/sfs/BAVM_link.php?BAVMnr=172"/>
    <hyperlink ref="P42" r:id="rId12" display="http://var.astro.cz/oejv/issues/oejv0074.pdf"/>
    <hyperlink ref="P43" r:id="rId13" display="http://www.konkoly.hu/cgi-bin/IBVS?5603"/>
    <hyperlink ref="P108" r:id="rId14" display="http://vsolj.cetus-net.org/no43.pdf"/>
    <hyperlink ref="P109" r:id="rId15" display="http://vsolj.cetus-net.org/no44.pdf"/>
    <hyperlink ref="P44" r:id="rId16" display="http://www.bav-astro.de/sfs/BAVM_link.php?BAVMnr=178"/>
    <hyperlink ref="P45" r:id="rId17" display="http://www.konkoly.hu/cgi-bin/IBVS?5843"/>
    <hyperlink ref="P46" r:id="rId18" display="http://var.astro.cz/oejv/issues/oejv0003.pdf"/>
    <hyperlink ref="P47" r:id="rId19" display="http://www.bav-astro.de/sfs/BAVM_link.php?BAVMnr=173"/>
    <hyperlink ref="P110" r:id="rId20" display="http://vsolj.cetus-net.org/no44.pdf"/>
    <hyperlink ref="P48" r:id="rId21" display="http://www.bav-astro.de/sfs/BAVM_link.php?BAVMnr=178"/>
    <hyperlink ref="P49" r:id="rId22" display="http://var.astro.cz/oejv/issues/oejv0074.pdf"/>
    <hyperlink ref="P50" r:id="rId23" display="http://www.konkoly.hu/cgi-bin/IBVS?5893"/>
    <hyperlink ref="P111" r:id="rId24" display="http://var.astro.cz/oejv/issues/oejv0107.pdf"/>
    <hyperlink ref="P113" r:id="rId25" display="http://www.bav-astro.de/sfs/BAVM_link.php?BAVMnr=203"/>
    <hyperlink ref="P51" r:id="rId26" display="http://www.bav-astro.de/sfs/BAVM_link.php?BAVMnr=186"/>
    <hyperlink ref="P52" r:id="rId27" display="http://www.bav-astro.de/sfs/BAVM_link.php?BAVMnr=186"/>
    <hyperlink ref="P53" r:id="rId28" display="http://www.konkoly.hu/cgi-bin/IBVS?5870"/>
    <hyperlink ref="P54" r:id="rId29" display="http://www.aavso.org/sites/default/files/jaavso/v36n2/186.pdf"/>
    <hyperlink ref="P55" r:id="rId30" display="http://www.aavso.org/sites/default/files/jaavso/v36n2/186.pdf"/>
    <hyperlink ref="P56" r:id="rId31" display="http://www.konkoly.hu/cgi-bin/IBVS?5893"/>
    <hyperlink ref="P60" r:id="rId32" display="http://www.konkoly.hu/cgi-bin/IBVS?5992"/>
    <hyperlink ref="P62" r:id="rId33" display="http://www.bav-astro.de/sfs/BAVM_link.php?BAVMnr=220"/>
    <hyperlink ref="P63" r:id="rId34" display="http://www.bav-astro.de/sfs/BAVM_link.php?BAVMnr=220"/>
    <hyperlink ref="P64" r:id="rId35" display="http://var.astro.cz/oejv/issues/oejv0160.pdf"/>
    <hyperlink ref="P65" r:id="rId36" display="http://var.astro.cz/oejv/issues/oejv0160.pdf"/>
    <hyperlink ref="P66" r:id="rId37" display="http://www.bav-astro.de/sfs/BAVM_link.php?BAVMnr=220"/>
    <hyperlink ref="P67" r:id="rId38" display="http://var.astro.cz/oejv/issues/oejv0160.pdf"/>
    <hyperlink ref="P68" r:id="rId39" display="http://var.astro.cz/oejv/issues/oejv0160.pdf"/>
    <hyperlink ref="P70" r:id="rId40" display="http://var.astro.cz/oejv/issues/oejv0160.pdf"/>
    <hyperlink ref="P71" r:id="rId41" display="http://var.astro.cz/oejv/issues/oejv0160.pdf"/>
    <hyperlink ref="P72" r:id="rId42" display="http://var.astro.cz/oejv/issues/oejv0160.pdf"/>
    <hyperlink ref="P73" r:id="rId43" display="http://www.konkoly.hu/cgi-bin/IBVS?6029"/>
    <hyperlink ref="P74" r:id="rId44" display="http://www.bav-astro.de/sfs/BAVM_link.php?BAVMnr=238"/>
    <hyperlink ref="P75" r:id="rId45" display="http://www.bav-astro.de/sfs/BAVM_link.php?BAVMnr=23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3"/>
  <sheetViews>
    <sheetView workbookViewId="0"/>
  </sheetViews>
  <sheetFormatPr defaultRowHeight="12.75" x14ac:dyDescent="0.2"/>
  <sheetData>
    <row r="1" spans="1:20" ht="18" x14ac:dyDescent="0.2">
      <c r="A1" s="42" t="s">
        <v>80</v>
      </c>
      <c r="B1" s="15"/>
      <c r="C1" s="15"/>
      <c r="D1" s="24" t="s">
        <v>81</v>
      </c>
      <c r="E1" s="15"/>
      <c r="F1" s="15"/>
      <c r="G1" s="15"/>
      <c r="H1" s="15"/>
      <c r="K1" s="43" t="s">
        <v>82</v>
      </c>
      <c r="L1" s="15" t="s">
        <v>83</v>
      </c>
      <c r="M1" s="15">
        <f ca="1">F18*H18-G18*G18</f>
        <v>146.97444276763781</v>
      </c>
      <c r="N1" s="15"/>
      <c r="O1" s="15"/>
      <c r="P1" s="15"/>
      <c r="Q1" s="15"/>
      <c r="R1" s="15">
        <v>1</v>
      </c>
      <c r="S1" s="15" t="s">
        <v>84</v>
      </c>
      <c r="T1" s="15"/>
    </row>
    <row r="2" spans="1:20" x14ac:dyDescent="0.2">
      <c r="A2" s="15"/>
      <c r="B2" s="15"/>
      <c r="C2" s="15"/>
      <c r="D2" s="15"/>
      <c r="E2" s="15"/>
      <c r="F2" s="15"/>
      <c r="G2" s="15"/>
      <c r="H2" s="15"/>
      <c r="K2" s="43" t="s">
        <v>85</v>
      </c>
      <c r="L2" s="15" t="s">
        <v>86</v>
      </c>
      <c r="M2" s="15">
        <f ca="1">+D18*H18-F18*G18</f>
        <v>152.9460601274186</v>
      </c>
      <c r="N2" s="15"/>
      <c r="O2" s="15"/>
      <c r="P2" s="15"/>
      <c r="Q2" s="15"/>
      <c r="R2" s="15">
        <v>2</v>
      </c>
      <c r="S2" s="15" t="s">
        <v>33</v>
      </c>
      <c r="T2" s="15"/>
    </row>
    <row r="3" spans="1:20" ht="13.5" thickBot="1" x14ac:dyDescent="0.25">
      <c r="A3" s="15" t="s">
        <v>87</v>
      </c>
      <c r="B3" s="15" t="s">
        <v>88</v>
      </c>
      <c r="C3" s="15"/>
      <c r="D3" s="15"/>
      <c r="E3" s="44" t="s">
        <v>89</v>
      </c>
      <c r="F3" s="44" t="s">
        <v>90</v>
      </c>
      <c r="G3" s="44" t="s">
        <v>91</v>
      </c>
      <c r="H3" s="44" t="s">
        <v>92</v>
      </c>
      <c r="K3" s="43" t="s">
        <v>93</v>
      </c>
      <c r="L3" s="15" t="s">
        <v>94</v>
      </c>
      <c r="M3" s="15">
        <f ca="1">+D18*G18-F18*F18</f>
        <v>39.543418474544524</v>
      </c>
      <c r="N3" s="15"/>
      <c r="O3" s="15"/>
      <c r="P3" s="15"/>
      <c r="Q3" s="15"/>
      <c r="R3" s="15">
        <v>3</v>
      </c>
      <c r="S3" s="15" t="s">
        <v>95</v>
      </c>
      <c r="T3" s="15"/>
    </row>
    <row r="4" spans="1:20" x14ac:dyDescent="0.2">
      <c r="A4" s="15" t="s">
        <v>96</v>
      </c>
      <c r="B4" s="15" t="s">
        <v>97</v>
      </c>
      <c r="C4" s="15"/>
      <c r="D4" s="45" t="s">
        <v>98</v>
      </c>
      <c r="E4" s="46">
        <f ca="1">(E18*M1-I18*M2+J18*M3)/M7</f>
        <v>0.36379750296008423</v>
      </c>
      <c r="F4" s="47">
        <f ca="1">+E7/M7*M18</f>
        <v>7.4859627037390269E-2</v>
      </c>
      <c r="G4" s="48">
        <f>+B18</f>
        <v>1</v>
      </c>
      <c r="H4" s="49">
        <f ca="1">ABS(F4/E4)</f>
        <v>0.20577278961038897</v>
      </c>
      <c r="K4" s="43" t="s">
        <v>99</v>
      </c>
      <c r="L4" s="15" t="s">
        <v>100</v>
      </c>
      <c r="M4" s="15">
        <f ca="1">+D17*H18-F18*F18</f>
        <v>159.32376537615346</v>
      </c>
      <c r="N4" s="15"/>
      <c r="O4" s="15"/>
      <c r="P4" s="15"/>
      <c r="Q4" s="15"/>
      <c r="R4" s="15">
        <v>4</v>
      </c>
      <c r="S4" s="15" t="s">
        <v>101</v>
      </c>
      <c r="T4" s="15"/>
    </row>
    <row r="5" spans="1:20" x14ac:dyDescent="0.2">
      <c r="A5" s="15" t="s">
        <v>102</v>
      </c>
      <c r="B5" s="50">
        <v>40323</v>
      </c>
      <c r="C5" s="15"/>
      <c r="D5" s="51" t="s">
        <v>103</v>
      </c>
      <c r="E5" s="52">
        <f ca="1">+(-E18*M2+I18*M4-J18*M5)/M7</f>
        <v>-0.361061645624701</v>
      </c>
      <c r="F5" s="53">
        <f ca="1">N18*E7/M7</f>
        <v>7.7941189372575687E-2</v>
      </c>
      <c r="G5" s="54">
        <f>+B18/A18</f>
        <v>1E-4</v>
      </c>
      <c r="H5" s="49">
        <f ca="1">ABS(F5/E5)</f>
        <v>0.21586670951361653</v>
      </c>
      <c r="K5" s="43" t="s">
        <v>104</v>
      </c>
      <c r="L5" s="15" t="s">
        <v>105</v>
      </c>
      <c r="M5" s="15">
        <f ca="1">+D17*G18-D18*F18</f>
        <v>41.231792191992554</v>
      </c>
      <c r="N5" s="15"/>
      <c r="O5" s="15"/>
      <c r="P5" s="15"/>
      <c r="Q5" s="15"/>
      <c r="R5" s="15">
        <v>5</v>
      </c>
      <c r="S5" s="15" t="s">
        <v>106</v>
      </c>
      <c r="T5" s="15"/>
    </row>
    <row r="6" spans="1:20" ht="13.5" thickBot="1" x14ac:dyDescent="0.25">
      <c r="A6" s="15"/>
      <c r="B6" s="15"/>
      <c r="C6" s="15"/>
      <c r="D6" s="55" t="s">
        <v>107</v>
      </c>
      <c r="E6" s="56">
        <f ca="1">+(E18*M3-I18*M5+J18*M6)/M7</f>
        <v>7.4652856088898351E-2</v>
      </c>
      <c r="F6" s="57">
        <f ca="1">O18*E7/M7</f>
        <v>2.0179776390166861E-2</v>
      </c>
      <c r="G6" s="58">
        <f>+B18/A18^2</f>
        <v>1E-8</v>
      </c>
      <c r="H6" s="49">
        <f ca="1">ABS(F6/E6)</f>
        <v>0.27031486064158505</v>
      </c>
      <c r="K6" s="59" t="s">
        <v>108</v>
      </c>
      <c r="L6" s="60" t="s">
        <v>109</v>
      </c>
      <c r="M6" s="60">
        <f ca="1">+D17*F18-D18*D18</f>
        <v>10.680195519998961</v>
      </c>
      <c r="N6" s="15"/>
      <c r="O6" s="15"/>
      <c r="P6" s="15"/>
      <c r="Q6" s="15"/>
      <c r="R6" s="15">
        <v>6</v>
      </c>
      <c r="S6" s="15" t="s">
        <v>110</v>
      </c>
      <c r="T6" s="15"/>
    </row>
    <row r="7" spans="1:20" x14ac:dyDescent="0.2">
      <c r="B7" s="15"/>
      <c r="C7" s="15"/>
      <c r="D7" s="61" t="s">
        <v>111</v>
      </c>
      <c r="E7" s="62">
        <f ca="1">SQRT(L18/(D17-3))</f>
        <v>1.638097910632392E-3</v>
      </c>
      <c r="F7" s="15"/>
      <c r="G7" s="63">
        <f>+B22</f>
        <v>-3.3547999999427702E-2</v>
      </c>
      <c r="H7" s="15"/>
      <c r="K7" s="43" t="s">
        <v>112</v>
      </c>
      <c r="L7" s="64" t="s">
        <v>113</v>
      </c>
      <c r="M7" s="15">
        <f ca="1">+D17*M1-D18*M2+F18*M3</f>
        <v>7.037626535839081E-2</v>
      </c>
      <c r="N7" s="15"/>
      <c r="O7" s="15"/>
      <c r="P7" s="15"/>
      <c r="Q7" s="15"/>
      <c r="R7" s="15">
        <v>7</v>
      </c>
      <c r="S7" s="15" t="s">
        <v>114</v>
      </c>
      <c r="T7" s="15"/>
    </row>
    <row r="8" spans="1:20" x14ac:dyDescent="0.2">
      <c r="B8" s="15"/>
      <c r="C8" s="15"/>
      <c r="D8" s="61" t="s">
        <v>155</v>
      </c>
      <c r="E8" s="15"/>
      <c r="F8" s="79">
        <f ca="1">CORREL(INDIRECT(E12):INDIRECT(E13),INDIRECT(K12):INDIRECT(K13))</f>
        <v>0.99038721338579805</v>
      </c>
      <c r="G8" s="62"/>
      <c r="H8" s="15"/>
      <c r="I8" s="63"/>
      <c r="J8" s="15"/>
      <c r="K8" s="15"/>
      <c r="L8" s="64"/>
      <c r="M8" s="15"/>
      <c r="N8" s="15"/>
      <c r="O8" s="15"/>
      <c r="P8" s="15"/>
      <c r="Q8" s="15"/>
      <c r="R8" s="15">
        <v>8</v>
      </c>
      <c r="S8" s="15" t="s">
        <v>115</v>
      </c>
      <c r="T8" s="15"/>
    </row>
    <row r="9" spans="1:20" x14ac:dyDescent="0.2">
      <c r="A9" s="15"/>
      <c r="B9" s="15"/>
      <c r="C9" s="15"/>
      <c r="D9" s="15"/>
      <c r="E9" s="80">
        <f ca="1">E6*G6</f>
        <v>7.4652856088898352E-10</v>
      </c>
      <c r="F9" s="81">
        <f ca="1">H6</f>
        <v>0.27031486064158505</v>
      </c>
      <c r="G9" s="82">
        <f ca="1">F8</f>
        <v>0.99038721338579805</v>
      </c>
      <c r="H9" s="15"/>
      <c r="I9" s="63"/>
      <c r="J9" s="15"/>
      <c r="K9" s="15"/>
      <c r="L9" s="64"/>
      <c r="M9" s="15"/>
      <c r="N9" s="15"/>
      <c r="O9" s="15"/>
      <c r="P9" s="15"/>
      <c r="Q9" s="15"/>
      <c r="R9" s="15">
        <v>9</v>
      </c>
      <c r="S9" s="15" t="s">
        <v>57</v>
      </c>
      <c r="T9" s="15"/>
    </row>
    <row r="10" spans="1:20" x14ac:dyDescent="0.2">
      <c r="A10" s="65"/>
      <c r="B10" s="6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v>10</v>
      </c>
      <c r="S10" s="15" t="s">
        <v>116</v>
      </c>
      <c r="T10" s="15"/>
    </row>
    <row r="11" spans="1:20" x14ac:dyDescent="0.2">
      <c r="A11" s="65"/>
      <c r="B11" s="6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>
        <v>11</v>
      </c>
      <c r="S11" s="15" t="s">
        <v>38</v>
      </c>
      <c r="T11" s="15"/>
    </row>
    <row r="12" spans="1:20" x14ac:dyDescent="0.2">
      <c r="A12" s="66">
        <v>21</v>
      </c>
      <c r="B12" s="15" t="s">
        <v>117</v>
      </c>
      <c r="C12" s="67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15"/>
      <c r="Q12" s="15"/>
      <c r="R12" s="15">
        <v>12</v>
      </c>
      <c r="S12" s="15" t="s">
        <v>118</v>
      </c>
      <c r="T12" s="15"/>
    </row>
    <row r="13" spans="1:20" x14ac:dyDescent="0.2">
      <c r="A13" s="66">
        <f>20+COUNT(A21:A1449)</f>
        <v>42</v>
      </c>
      <c r="B13" s="15" t="s">
        <v>119</v>
      </c>
      <c r="C13" s="67">
        <v>42</v>
      </c>
      <c r="D13" s="5" t="str">
        <f>D$15&amp;$C13</f>
        <v>D42</v>
      </c>
      <c r="E13" s="5" t="str">
        <f t="shared" ref="E13:O13" si="1">E$15&amp;$C13</f>
        <v>E42</v>
      </c>
      <c r="F13" s="5" t="str">
        <f t="shared" si="1"/>
        <v>F42</v>
      </c>
      <c r="G13" s="5" t="str">
        <f t="shared" si="1"/>
        <v>G42</v>
      </c>
      <c r="H13" s="5" t="str">
        <f t="shared" si="1"/>
        <v>H42</v>
      </c>
      <c r="I13" s="5" t="str">
        <f t="shared" si="1"/>
        <v>I42</v>
      </c>
      <c r="J13" s="5" t="str">
        <f t="shared" si="1"/>
        <v>J42</v>
      </c>
      <c r="K13" s="5" t="str">
        <f t="shared" si="1"/>
        <v>K42</v>
      </c>
      <c r="L13" s="5" t="str">
        <f t="shared" si="1"/>
        <v>L42</v>
      </c>
      <c r="M13" s="5" t="str">
        <f t="shared" si="1"/>
        <v>M42</v>
      </c>
      <c r="N13" s="5" t="str">
        <f t="shared" si="1"/>
        <v>N42</v>
      </c>
      <c r="O13" s="5" t="str">
        <f t="shared" si="1"/>
        <v>O42</v>
      </c>
      <c r="P13" s="15"/>
      <c r="Q13" s="15"/>
      <c r="R13" s="15">
        <v>13</v>
      </c>
      <c r="S13" s="15" t="s">
        <v>120</v>
      </c>
      <c r="T13" s="15"/>
    </row>
    <row r="14" spans="1:20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64"/>
      <c r="N14" s="15"/>
      <c r="O14" s="15"/>
      <c r="P14" s="15"/>
      <c r="Q14" s="15"/>
      <c r="R14" s="15">
        <v>14</v>
      </c>
      <c r="S14" s="15" t="s">
        <v>121</v>
      </c>
      <c r="T14" s="15"/>
    </row>
    <row r="15" spans="1:20" x14ac:dyDescent="0.2">
      <c r="A15" s="5"/>
      <c r="B15" s="15"/>
      <c r="C15" s="15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15"/>
      <c r="Q15" s="15"/>
      <c r="R15" s="15">
        <v>15</v>
      </c>
      <c r="S15" s="15" t="s">
        <v>122</v>
      </c>
      <c r="T15" s="15"/>
    </row>
    <row r="16" spans="1:20" x14ac:dyDescent="0.2">
      <c r="A16" s="5"/>
      <c r="B16" s="65"/>
      <c r="C16" s="1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15"/>
      <c r="Q16" s="15"/>
      <c r="R16" s="15">
        <v>16</v>
      </c>
      <c r="S16" s="15" t="s">
        <v>123</v>
      </c>
      <c r="T16" s="15"/>
    </row>
    <row r="17" spans="1:20" x14ac:dyDescent="0.2">
      <c r="A17" s="24" t="s">
        <v>124</v>
      </c>
      <c r="B17" s="15"/>
      <c r="C17" s="15" t="s">
        <v>125</v>
      </c>
      <c r="D17" s="15">
        <f>C13-C12+1</f>
        <v>22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17</v>
      </c>
      <c r="S17" s="15" t="s">
        <v>126</v>
      </c>
      <c r="T17" s="15"/>
    </row>
    <row r="18" spans="1:20" x14ac:dyDescent="0.2">
      <c r="A18" s="68">
        <v>10000</v>
      </c>
      <c r="B18" s="68">
        <v>1</v>
      </c>
      <c r="C18" s="15" t="s">
        <v>127</v>
      </c>
      <c r="D18" s="15">
        <f ca="1">SUM(INDIRECT(D12):INDIRECT(D13))</f>
        <v>43.307400000000008</v>
      </c>
      <c r="E18" s="15">
        <f ca="1">SUM(INDIRECT(E12):INDIRECT(E13))</f>
        <v>-1.2325940000009723</v>
      </c>
      <c r="F18" s="15">
        <f ca="1">SUM(INDIRECT(F12):INDIRECT(F13))</f>
        <v>85.736867739999994</v>
      </c>
      <c r="G18" s="15">
        <f ca="1">SUM(INDIRECT(G12):INDIRECT(G13))</f>
        <v>170.64875537069403</v>
      </c>
      <c r="H18" s="15">
        <f ca="1">SUM(INDIRECT(H12):INDIRECT(H13))</f>
        <v>341.36973887465479</v>
      </c>
      <c r="I18" s="15">
        <f ca="1">SUM(INDIRECT(I12):INDIRECT(I13))</f>
        <v>-2.4617536053993421</v>
      </c>
      <c r="J18" s="15">
        <f ca="1">SUM(INDIRECT(J12):INDIRECT(J13))</f>
        <v>-4.9396360625107913</v>
      </c>
      <c r="K18" s="15"/>
      <c r="L18" s="15">
        <f ca="1">SUM(INDIRECT(L12):INDIRECT(L13))</f>
        <v>5.0983930531545958E-5</v>
      </c>
      <c r="M18" s="15">
        <f ca="1">SQRT(SUM(INDIRECT(M12):INDIRECT(M13)))</f>
        <v>3.2161331400390396</v>
      </c>
      <c r="N18" s="15">
        <f ca="1">SQRT(SUM(INDIRECT(N12):INDIRECT(N13)))</f>
        <v>3.3485237909346925</v>
      </c>
      <c r="O18" s="15">
        <f ca="1">SQRT(SUM(INDIRECT(O12):INDIRECT(O13)))</f>
        <v>0.86696728497694597</v>
      </c>
      <c r="P18" s="15"/>
      <c r="Q18" s="15"/>
      <c r="R18" s="15">
        <v>18</v>
      </c>
      <c r="S18" s="15" t="s">
        <v>128</v>
      </c>
      <c r="T18" s="15"/>
    </row>
    <row r="19" spans="1:20" x14ac:dyDescent="0.2">
      <c r="A19" s="69" t="s">
        <v>129</v>
      </c>
      <c r="B19" s="15"/>
      <c r="C19" s="15"/>
      <c r="D19" s="70" t="s">
        <v>130</v>
      </c>
      <c r="E19" s="70" t="s">
        <v>131</v>
      </c>
      <c r="F19" s="70" t="s">
        <v>132</v>
      </c>
      <c r="G19" s="70" t="s">
        <v>133</v>
      </c>
      <c r="H19" s="70" t="s">
        <v>134</v>
      </c>
      <c r="I19" s="70" t="s">
        <v>135</v>
      </c>
      <c r="J19" s="70" t="s">
        <v>136</v>
      </c>
      <c r="K19" s="71"/>
      <c r="L19" s="71"/>
      <c r="M19" s="71"/>
      <c r="N19" s="71"/>
      <c r="O19" s="71"/>
      <c r="P19" s="15"/>
      <c r="Q19" s="15"/>
      <c r="R19" s="15">
        <v>19</v>
      </c>
      <c r="S19" s="15" t="s">
        <v>137</v>
      </c>
      <c r="T19" s="15"/>
    </row>
    <row r="20" spans="1:20" ht="15" thickBot="1" x14ac:dyDescent="0.25">
      <c r="A20" s="8" t="s">
        <v>138</v>
      </c>
      <c r="B20" s="8" t="s">
        <v>139</v>
      </c>
      <c r="C20" s="15"/>
      <c r="D20" s="8" t="s">
        <v>138</v>
      </c>
      <c r="E20" s="8" t="s">
        <v>139</v>
      </c>
      <c r="F20" s="8" t="s">
        <v>140</v>
      </c>
      <c r="G20" s="8" t="s">
        <v>141</v>
      </c>
      <c r="H20" s="8" t="s">
        <v>142</v>
      </c>
      <c r="I20" s="72" t="s">
        <v>143</v>
      </c>
      <c r="J20" s="8" t="s">
        <v>144</v>
      </c>
      <c r="K20" s="73" t="s">
        <v>79</v>
      </c>
      <c r="L20" s="72" t="s">
        <v>145</v>
      </c>
      <c r="M20" s="72" t="s">
        <v>146</v>
      </c>
      <c r="N20" s="72" t="s">
        <v>147</v>
      </c>
      <c r="O20" s="72" t="s">
        <v>148</v>
      </c>
      <c r="P20" s="74" t="s">
        <v>149</v>
      </c>
      <c r="Q20" s="15"/>
      <c r="R20" s="15">
        <v>20</v>
      </c>
      <c r="S20" s="15" t="s">
        <v>150</v>
      </c>
      <c r="T20" s="15"/>
    </row>
    <row r="21" spans="1:20" x14ac:dyDescent="0.2">
      <c r="A21" s="75">
        <v>17087</v>
      </c>
      <c r="B21" s="75">
        <v>-3.682200000184821E-2</v>
      </c>
      <c r="C21" s="15"/>
      <c r="D21" s="76">
        <f t="shared" ref="D21:D52" si="3">A21/A$18</f>
        <v>1.7087000000000001</v>
      </c>
      <c r="E21" s="76">
        <f t="shared" ref="E21:E52" si="4">B21/B$18</f>
        <v>-3.682200000184821E-2</v>
      </c>
      <c r="F21" s="30">
        <f>D21*D21</f>
        <v>2.9196556900000004</v>
      </c>
      <c r="G21" s="30">
        <f>D21*F21</f>
        <v>4.988815677503001</v>
      </c>
      <c r="H21" s="30">
        <f>F21*F21</f>
        <v>8.5243893481493789</v>
      </c>
      <c r="I21" s="30">
        <f>E21*D21</f>
        <v>-6.2917751403158043E-2</v>
      </c>
      <c r="J21" s="30">
        <f>I21*D21</f>
        <v>-0.10750756182257615</v>
      </c>
      <c r="K21" s="30">
        <f t="shared" ref="K21:K52" ca="1" si="5">+E$4+E$5*D21+E$6*D21^2</f>
        <v>-3.5187894864139174E-2</v>
      </c>
      <c r="L21" s="30">
        <f ca="1">+(K21-E21)^2</f>
        <v>2.6702996010870655E-6</v>
      </c>
      <c r="M21" s="30">
        <f t="shared" ref="M21:M52" ca="1" si="6">(M$1-M$2*D21+M$3*F21)^2</f>
        <v>1.1852166940391693</v>
      </c>
      <c r="N21" s="30">
        <f t="shared" ref="N21:N52" ca="1" si="7">(-M$2+M$4*D21-M$5*F21)^2</f>
        <v>1.1928547745807321</v>
      </c>
      <c r="O21" s="30">
        <f t="shared" ref="O21:O52" ca="1" si="8">+(M$3-D21*M$5+F21*M$6)^2</f>
        <v>7.4610254029323059E-2</v>
      </c>
      <c r="P21" s="15">
        <f ca="1">+E21-K21</f>
        <v>-1.6341051377090354E-3</v>
      </c>
      <c r="Q21" s="15"/>
      <c r="R21" s="15">
        <v>21</v>
      </c>
      <c r="S21" s="15" t="s">
        <v>151</v>
      </c>
      <c r="T21" s="15"/>
    </row>
    <row r="22" spans="1:20" x14ac:dyDescent="0.2">
      <c r="A22" s="75">
        <v>17108</v>
      </c>
      <c r="B22" s="75">
        <v>-3.3547999999427702E-2</v>
      </c>
      <c r="C22" s="15"/>
      <c r="D22" s="76">
        <f t="shared" si="3"/>
        <v>1.7108000000000001</v>
      </c>
      <c r="E22" s="76">
        <f t="shared" si="4"/>
        <v>-3.3547999999427702E-2</v>
      </c>
      <c r="F22" s="30">
        <f t="shared" ref="F22:F85" si="9">D22*D22</f>
        <v>2.9268366400000003</v>
      </c>
      <c r="G22" s="30">
        <f t="shared" ref="G22:G85" si="10">D22*F22</f>
        <v>5.0072321237120008</v>
      </c>
      <c r="H22" s="30">
        <f t="shared" ref="H22:H85" si="11">F22*F22</f>
        <v>8.566372717246491</v>
      </c>
      <c r="I22" s="30">
        <f t="shared" ref="I22:I85" si="12">E22*D22</f>
        <v>-5.7393918399020916E-2</v>
      </c>
      <c r="J22" s="30">
        <f t="shared" ref="J22:J85" si="13">I22*D22</f>
        <v>-9.8189515597044988E-2</v>
      </c>
      <c r="K22" s="30">
        <f t="shared" ca="1" si="5"/>
        <v>-3.5410045893019437E-2</v>
      </c>
      <c r="L22" s="30">
        <f t="shared" ref="L22:L85" ca="1" si="14">+(K22-E22)^2</f>
        <v>3.467214909841843E-6</v>
      </c>
      <c r="M22" s="30">
        <f t="shared" ca="1" si="6"/>
        <v>1.1055453440555121</v>
      </c>
      <c r="N22" s="30">
        <f t="shared" ca="1" si="7"/>
        <v>1.1102466891796112</v>
      </c>
      <c r="O22" s="30">
        <f t="shared" ca="1" si="8"/>
        <v>6.9303701939473855E-2</v>
      </c>
      <c r="P22" s="15">
        <f t="shared" ref="P22:P85" ca="1" si="15">+E22-K22</f>
        <v>1.862045893591735E-3</v>
      </c>
      <c r="Q22" s="15"/>
      <c r="R22" s="15">
        <v>22</v>
      </c>
      <c r="S22" s="15" t="s">
        <v>152</v>
      </c>
      <c r="T22" s="15"/>
    </row>
    <row r="23" spans="1:20" x14ac:dyDescent="0.2">
      <c r="A23" s="75">
        <v>17475</v>
      </c>
      <c r="B23" s="75">
        <v>-4.034999999566935E-2</v>
      </c>
      <c r="C23" s="15"/>
      <c r="D23" s="76">
        <f t="shared" si="3"/>
        <v>1.7475000000000001</v>
      </c>
      <c r="E23" s="76">
        <f t="shared" si="4"/>
        <v>-4.034999999566935E-2</v>
      </c>
      <c r="F23" s="30">
        <f t="shared" si="9"/>
        <v>3.0537562500000002</v>
      </c>
      <c r="G23" s="30">
        <f t="shared" si="10"/>
        <v>5.3364390468750003</v>
      </c>
      <c r="H23" s="30">
        <f t="shared" si="11"/>
        <v>9.3254272344140627</v>
      </c>
      <c r="I23" s="30">
        <f t="shared" si="12"/>
        <v>-7.0511624992432187E-2</v>
      </c>
      <c r="J23" s="30">
        <f t="shared" si="13"/>
        <v>-0.12321906467427525</v>
      </c>
      <c r="K23" s="30">
        <f t="shared" ca="1" si="5"/>
        <v>-3.918609690725694E-2</v>
      </c>
      <c r="L23" s="30">
        <f t="shared" ca="1" si="14"/>
        <v>1.3546703992159468E-6</v>
      </c>
      <c r="M23" s="30">
        <f t="shared" ca="1" si="6"/>
        <v>0.20899893019198457</v>
      </c>
      <c r="N23" s="30">
        <f t="shared" ca="1" si="7"/>
        <v>0.19326859102812513</v>
      </c>
      <c r="O23" s="30">
        <f t="shared" ca="1" si="8"/>
        <v>1.1146173416403383E-2</v>
      </c>
      <c r="P23" s="15">
        <f t="shared" ca="1" si="15"/>
        <v>-1.1639030884124102E-3</v>
      </c>
      <c r="Q23" s="15"/>
      <c r="R23" s="15">
        <v>23</v>
      </c>
      <c r="S23" s="15" t="s">
        <v>153</v>
      </c>
      <c r="T23" s="15"/>
    </row>
    <row r="24" spans="1:20" x14ac:dyDescent="0.2">
      <c r="A24" s="75">
        <v>17475</v>
      </c>
      <c r="B24" s="75">
        <v>-3.9949999998498242E-2</v>
      </c>
      <c r="C24" s="15"/>
      <c r="D24" s="76">
        <f t="shared" si="3"/>
        <v>1.7475000000000001</v>
      </c>
      <c r="E24" s="76">
        <f t="shared" si="4"/>
        <v>-3.9949999998498242E-2</v>
      </c>
      <c r="F24" s="30">
        <f t="shared" si="9"/>
        <v>3.0537562500000002</v>
      </c>
      <c r="G24" s="30">
        <f t="shared" si="10"/>
        <v>5.3364390468750003</v>
      </c>
      <c r="H24" s="30">
        <f t="shared" si="11"/>
        <v>9.3254272344140627</v>
      </c>
      <c r="I24" s="30">
        <f t="shared" si="12"/>
        <v>-6.9812624997375686E-2</v>
      </c>
      <c r="J24" s="30">
        <f t="shared" si="13"/>
        <v>-0.12199756218291402</v>
      </c>
      <c r="K24" s="30">
        <f t="shared" ca="1" si="5"/>
        <v>-3.918609690725694E-2</v>
      </c>
      <c r="L24" s="30">
        <f t="shared" ca="1" si="14"/>
        <v>5.8354793280801779E-7</v>
      </c>
      <c r="M24" s="30">
        <f t="shared" ca="1" si="6"/>
        <v>0.20899893019198457</v>
      </c>
      <c r="N24" s="30">
        <f t="shared" ca="1" si="7"/>
        <v>0.19326859102812513</v>
      </c>
      <c r="O24" s="30">
        <f t="shared" ca="1" si="8"/>
        <v>1.1146173416403383E-2</v>
      </c>
      <c r="P24" s="15">
        <f t="shared" ca="1" si="15"/>
        <v>-7.6390309124130251E-4</v>
      </c>
      <c r="Q24" s="15"/>
      <c r="R24" s="15">
        <v>24</v>
      </c>
      <c r="S24" s="15" t="s">
        <v>138</v>
      </c>
      <c r="T24" s="15"/>
    </row>
    <row r="25" spans="1:20" x14ac:dyDescent="0.2">
      <c r="A25" s="75">
        <v>18097</v>
      </c>
      <c r="B25" s="75">
        <v>-4.4382000007317401E-2</v>
      </c>
      <c r="C25" s="15"/>
      <c r="D25" s="76">
        <f t="shared" si="3"/>
        <v>1.8097000000000001</v>
      </c>
      <c r="E25" s="76">
        <f t="shared" si="4"/>
        <v>-4.4382000007317401E-2</v>
      </c>
      <c r="F25" s="30">
        <f t="shared" si="9"/>
        <v>3.2750140900000004</v>
      </c>
      <c r="G25" s="30">
        <f t="shared" si="10"/>
        <v>5.926792998673001</v>
      </c>
      <c r="H25" s="30">
        <f t="shared" si="11"/>
        <v>10.725717289698531</v>
      </c>
      <c r="I25" s="30">
        <f t="shared" si="12"/>
        <v>-8.0318105413242302E-2</v>
      </c>
      <c r="J25" s="30">
        <f t="shared" si="13"/>
        <v>-0.14535167536634461</v>
      </c>
      <c r="K25" s="30">
        <f t="shared" ca="1" si="5"/>
        <v>-4.5126601577052727E-2</v>
      </c>
      <c r="L25" s="30">
        <f t="shared" ca="1" si="14"/>
        <v>5.5443149765231135E-7</v>
      </c>
      <c r="M25" s="30">
        <f t="shared" ca="1" si="6"/>
        <v>9.4119842747027699E-2</v>
      </c>
      <c r="N25" s="30">
        <f t="shared" ca="1" si="7"/>
        <v>0.12072684569993664</v>
      </c>
      <c r="O25" s="30">
        <f t="shared" ca="1" si="8"/>
        <v>9.2092895457276443E-3</v>
      </c>
      <c r="P25" s="15">
        <f t="shared" ca="1" si="15"/>
        <v>7.4460156973532587E-4</v>
      </c>
      <c r="Q25" s="15"/>
      <c r="R25" s="15">
        <v>25</v>
      </c>
      <c r="S25" s="15" t="s">
        <v>139</v>
      </c>
      <c r="T25" s="15"/>
    </row>
    <row r="26" spans="1:20" x14ac:dyDescent="0.2">
      <c r="A26" s="75">
        <v>18109</v>
      </c>
      <c r="B26" s="75">
        <v>-4.5254000004206318E-2</v>
      </c>
      <c r="C26" s="15"/>
      <c r="D26" s="76">
        <f t="shared" si="3"/>
        <v>1.8109</v>
      </c>
      <c r="E26" s="76">
        <f t="shared" si="4"/>
        <v>-4.5254000004206318E-2</v>
      </c>
      <c r="F26" s="30">
        <f t="shared" si="9"/>
        <v>3.2793588099999997</v>
      </c>
      <c r="G26" s="30">
        <f t="shared" si="10"/>
        <v>5.9385908690289995</v>
      </c>
      <c r="H26" s="30">
        <f t="shared" si="11"/>
        <v>10.754194204724614</v>
      </c>
      <c r="I26" s="30">
        <f t="shared" si="12"/>
        <v>-8.1950468607617219E-2</v>
      </c>
      <c r="J26" s="30">
        <f t="shared" si="13"/>
        <v>-0.14840410360153403</v>
      </c>
      <c r="K26" s="30">
        <f t="shared" ca="1" si="5"/>
        <v>-4.5235529794895896E-2</v>
      </c>
      <c r="L26" s="30">
        <f t="shared" ca="1" si="14"/>
        <v>3.4114863197082755E-10</v>
      </c>
      <c r="M26" s="30">
        <f t="shared" ca="1" si="6"/>
        <v>0.10145484075313506</v>
      </c>
      <c r="N26" s="30">
        <f t="shared" ca="1" si="7"/>
        <v>0.12924428747372196</v>
      </c>
      <c r="O26" s="30">
        <f t="shared" ca="1" si="8"/>
        <v>9.809067170258496E-3</v>
      </c>
      <c r="P26" s="15">
        <f t="shared" ca="1" si="15"/>
        <v>-1.8470209310422758E-5</v>
      </c>
      <c r="Q26" s="15"/>
      <c r="R26" s="15">
        <v>26</v>
      </c>
      <c r="S26" s="15" t="s">
        <v>154</v>
      </c>
      <c r="T26" s="15"/>
    </row>
    <row r="27" spans="1:20" x14ac:dyDescent="0.2">
      <c r="A27" s="75">
        <v>18421</v>
      </c>
      <c r="B27" s="75">
        <v>-4.5426000004226808E-2</v>
      </c>
      <c r="C27" s="15"/>
      <c r="D27" s="76">
        <f t="shared" si="3"/>
        <v>1.8421000000000001</v>
      </c>
      <c r="E27" s="76">
        <f t="shared" si="4"/>
        <v>-4.5426000004226808E-2</v>
      </c>
      <c r="F27" s="30">
        <f t="shared" si="9"/>
        <v>3.3933324100000002</v>
      </c>
      <c r="G27" s="30">
        <f t="shared" si="10"/>
        <v>6.2508576324610008</v>
      </c>
      <c r="H27" s="30">
        <f t="shared" si="11"/>
        <v>11.514704844756409</v>
      </c>
      <c r="I27" s="30">
        <f t="shared" si="12"/>
        <v>-8.3679234607786201E-2</v>
      </c>
      <c r="J27" s="30">
        <f t="shared" si="13"/>
        <v>-0.15414551807100296</v>
      </c>
      <c r="K27" s="30">
        <f t="shared" ca="1" si="5"/>
        <v>-4.7992198379652962E-2</v>
      </c>
      <c r="L27" s="30">
        <f t="shared" ca="1" si="14"/>
        <v>6.5853741020398325E-6</v>
      </c>
      <c r="M27" s="30">
        <f t="shared" ca="1" si="6"/>
        <v>0.34050852274431165</v>
      </c>
      <c r="N27" s="30">
        <f t="shared" ca="1" si="7"/>
        <v>0.39825099138910236</v>
      </c>
      <c r="O27" s="30">
        <f t="shared" ca="1" si="8"/>
        <v>2.8295384322460888E-2</v>
      </c>
      <c r="P27" s="15">
        <f t="shared" ca="1" si="15"/>
        <v>2.5661983754261541E-3</v>
      </c>
      <c r="Q27" s="15"/>
      <c r="R27" s="15"/>
      <c r="S27" s="15"/>
      <c r="T27" s="15"/>
    </row>
    <row r="28" spans="1:20" x14ac:dyDescent="0.2">
      <c r="A28" s="75">
        <v>19712</v>
      </c>
      <c r="B28" s="75">
        <v>-5.9871999997994862E-2</v>
      </c>
      <c r="C28" s="15"/>
      <c r="D28" s="76">
        <f t="shared" si="3"/>
        <v>1.9712000000000001</v>
      </c>
      <c r="E28" s="76">
        <f t="shared" si="4"/>
        <v>-5.9871999997994862E-2</v>
      </c>
      <c r="F28" s="30">
        <f t="shared" si="9"/>
        <v>3.8856294400000002</v>
      </c>
      <c r="G28" s="30">
        <f t="shared" si="10"/>
        <v>7.6593527521280009</v>
      </c>
      <c r="H28" s="30">
        <f t="shared" si="11"/>
        <v>15.098116144994716</v>
      </c>
      <c r="I28" s="30">
        <f t="shared" si="12"/>
        <v>-0.11801968639604747</v>
      </c>
      <c r="J28" s="30">
        <f t="shared" si="13"/>
        <v>-0.23264040582388879</v>
      </c>
      <c r="K28" s="30">
        <f t="shared" ca="1" si="5"/>
        <v>-5.785387749621973E-2</v>
      </c>
      <c r="L28" s="30">
        <f t="shared" ca="1" si="14"/>
        <v>4.0728184321711194E-6</v>
      </c>
      <c r="M28" s="30">
        <f t="shared" ca="1" si="6"/>
        <v>0.74263025037496155</v>
      </c>
      <c r="N28" s="30">
        <f t="shared" ca="1" si="7"/>
        <v>0.81266723050399914</v>
      </c>
      <c r="O28" s="30">
        <f t="shared" ca="1" si="8"/>
        <v>5.4479367682772679E-2</v>
      </c>
      <c r="P28" s="15">
        <f t="shared" ca="1" si="15"/>
        <v>-2.0181225017751325E-3</v>
      </c>
      <c r="Q28" s="15"/>
      <c r="R28" s="15"/>
      <c r="S28" s="15"/>
      <c r="T28" s="15"/>
    </row>
    <row r="29" spans="1:20" x14ac:dyDescent="0.2">
      <c r="A29" s="75">
        <v>19777</v>
      </c>
      <c r="B29" s="75">
        <v>-5.7662000006530434E-2</v>
      </c>
      <c r="C29" s="15"/>
      <c r="D29" s="76">
        <f t="shared" si="3"/>
        <v>1.9777</v>
      </c>
      <c r="E29" s="76">
        <f t="shared" si="4"/>
        <v>-5.7662000006530434E-2</v>
      </c>
      <c r="F29" s="30">
        <f t="shared" si="9"/>
        <v>3.9112972900000003</v>
      </c>
      <c r="G29" s="30">
        <f t="shared" si="10"/>
        <v>7.7353726504330007</v>
      </c>
      <c r="H29" s="30">
        <f t="shared" si="11"/>
        <v>15.298246490761347</v>
      </c>
      <c r="I29" s="30">
        <f t="shared" si="12"/>
        <v>-0.11403813741291524</v>
      </c>
      <c r="J29" s="30">
        <f t="shared" si="13"/>
        <v>-0.22553322436152248</v>
      </c>
      <c r="K29" s="30">
        <f t="shared" ca="1" si="5"/>
        <v>-5.8284599880618793E-2</v>
      </c>
      <c r="L29" s="30">
        <f t="shared" ca="1" si="14"/>
        <v>3.8763060321484011E-7</v>
      </c>
      <c r="M29" s="30">
        <f t="shared" ca="1" si="6"/>
        <v>0.70713775053363848</v>
      </c>
      <c r="N29" s="30">
        <f t="shared" ca="1" si="7"/>
        <v>0.77220788005134144</v>
      </c>
      <c r="O29" s="30">
        <f t="shared" ca="1" si="8"/>
        <v>5.1654902692605302E-2</v>
      </c>
      <c r="P29" s="15">
        <f t="shared" ca="1" si="15"/>
        <v>6.2259987408835871E-4</v>
      </c>
      <c r="Q29" s="15"/>
      <c r="R29" s="15"/>
      <c r="S29" s="15"/>
      <c r="T29" s="15"/>
    </row>
    <row r="30" spans="1:20" x14ac:dyDescent="0.2">
      <c r="A30" s="75">
        <v>20115</v>
      </c>
      <c r="B30" s="75">
        <v>-6.1090000002877787E-2</v>
      </c>
      <c r="C30" s="15"/>
      <c r="D30" s="76">
        <f t="shared" si="3"/>
        <v>2.0114999999999998</v>
      </c>
      <c r="E30" s="76">
        <f t="shared" si="4"/>
        <v>-6.1090000002877787E-2</v>
      </c>
      <c r="F30" s="30">
        <f t="shared" si="9"/>
        <v>4.0461322499999994</v>
      </c>
      <c r="G30" s="30">
        <f t="shared" si="10"/>
        <v>8.1387950208749977</v>
      </c>
      <c r="H30" s="30">
        <f t="shared" si="11"/>
        <v>16.371186184490057</v>
      </c>
      <c r="I30" s="30">
        <f t="shared" si="12"/>
        <v>-0.12288253500578866</v>
      </c>
      <c r="J30" s="30">
        <f t="shared" si="13"/>
        <v>-0.24717821916414387</v>
      </c>
      <c r="K30" s="30">
        <f t="shared" ca="1" si="5"/>
        <v>-6.0422668638101362E-2</v>
      </c>
      <c r="L30" s="30">
        <f t="shared" ca="1" si="14"/>
        <v>4.4533115041436536E-7</v>
      </c>
      <c r="M30" s="30">
        <f t="shared" ca="1" si="6"/>
        <v>0.46057452767193569</v>
      </c>
      <c r="N30" s="30">
        <f t="shared" ca="1" si="7"/>
        <v>0.49619318520696271</v>
      </c>
      <c r="O30" s="30">
        <f t="shared" ca="1" si="8"/>
        <v>3.2705995441894183E-2</v>
      </c>
      <c r="P30" s="15">
        <f t="shared" ca="1" si="15"/>
        <v>-6.6733136477642452E-4</v>
      </c>
      <c r="Q30" s="15"/>
      <c r="R30" s="15"/>
      <c r="S30" s="15"/>
      <c r="T30" s="15"/>
    </row>
    <row r="31" spans="1:20" x14ac:dyDescent="0.2">
      <c r="A31" s="75">
        <v>20122</v>
      </c>
      <c r="B31" s="75">
        <v>-6.1331999997491948E-2</v>
      </c>
      <c r="C31" s="15"/>
      <c r="D31" s="76">
        <f t="shared" si="3"/>
        <v>2.0122</v>
      </c>
      <c r="E31" s="76">
        <f t="shared" si="4"/>
        <v>-6.1331999997491948E-2</v>
      </c>
      <c r="F31" s="30">
        <f t="shared" si="9"/>
        <v>4.0489488399999995</v>
      </c>
      <c r="G31" s="30">
        <f t="shared" si="10"/>
        <v>8.1472948558479992</v>
      </c>
      <c r="H31" s="30">
        <f t="shared" si="11"/>
        <v>16.393986708937341</v>
      </c>
      <c r="I31" s="30">
        <f t="shared" si="12"/>
        <v>-0.12341225039495329</v>
      </c>
      <c r="J31" s="30">
        <f t="shared" si="13"/>
        <v>-0.24833013024472503</v>
      </c>
      <c r="K31" s="30">
        <f t="shared" ca="1" si="5"/>
        <v>-6.0465145302107282E-2</v>
      </c>
      <c r="L31" s="30">
        <f t="shared" ca="1" si="14"/>
        <v>7.5143706291044342E-7</v>
      </c>
      <c r="M31" s="30">
        <f t="shared" ca="1" si="6"/>
        <v>0.4547358633303562</v>
      </c>
      <c r="N31" s="30">
        <f t="shared" ca="1" si="7"/>
        <v>0.48972479247664258</v>
      </c>
      <c r="O31" s="30">
        <f t="shared" ca="1" si="8"/>
        <v>3.2266402506522004E-2</v>
      </c>
      <c r="P31" s="15">
        <f t="shared" ca="1" si="15"/>
        <v>-8.6685469538466675E-4</v>
      </c>
      <c r="Q31" s="15"/>
      <c r="R31" s="15"/>
      <c r="S31" s="15"/>
      <c r="T31" s="15"/>
    </row>
    <row r="32" spans="1:20" x14ac:dyDescent="0.2">
      <c r="A32" s="75">
        <v>20122</v>
      </c>
      <c r="B32" s="75">
        <v>-5.9271999998600222E-2</v>
      </c>
      <c r="C32" s="15"/>
      <c r="D32" s="76">
        <f t="shared" si="3"/>
        <v>2.0122</v>
      </c>
      <c r="E32" s="76">
        <f t="shared" si="4"/>
        <v>-5.9271999998600222E-2</v>
      </c>
      <c r="F32" s="30">
        <f t="shared" si="9"/>
        <v>4.0489488399999995</v>
      </c>
      <c r="G32" s="30">
        <f t="shared" si="10"/>
        <v>8.1472948558479992</v>
      </c>
      <c r="H32" s="30">
        <f t="shared" si="11"/>
        <v>16.393986708937341</v>
      </c>
      <c r="I32" s="30">
        <f t="shared" si="12"/>
        <v>-0.11926711839718336</v>
      </c>
      <c r="J32" s="30">
        <f t="shared" si="13"/>
        <v>-0.23998929563881236</v>
      </c>
      <c r="K32" s="30">
        <f t="shared" ca="1" si="5"/>
        <v>-6.0465145302107282E-2</v>
      </c>
      <c r="L32" s="30">
        <f t="shared" ca="1" si="14"/>
        <v>1.4235957152809528E-6</v>
      </c>
      <c r="M32" s="30">
        <f t="shared" ca="1" si="6"/>
        <v>0.4547358633303562</v>
      </c>
      <c r="N32" s="30">
        <f t="shared" ca="1" si="7"/>
        <v>0.48972479247664258</v>
      </c>
      <c r="O32" s="30">
        <f t="shared" ca="1" si="8"/>
        <v>3.2266402506522004E-2</v>
      </c>
      <c r="P32" s="15">
        <f t="shared" ca="1" si="15"/>
        <v>1.1931453035070594E-3</v>
      </c>
      <c r="Q32" s="15"/>
      <c r="R32" s="15"/>
      <c r="S32" s="15"/>
      <c r="T32" s="15"/>
    </row>
    <row r="33" spans="1:20" x14ac:dyDescent="0.2">
      <c r="A33" s="75">
        <v>20137</v>
      </c>
      <c r="B33" s="75">
        <v>-6.1021999994409271E-2</v>
      </c>
      <c r="C33" s="15"/>
      <c r="D33" s="76">
        <f t="shared" si="3"/>
        <v>2.0137</v>
      </c>
      <c r="E33" s="76">
        <f t="shared" si="4"/>
        <v>-6.1021999994409271E-2</v>
      </c>
      <c r="F33" s="30">
        <f t="shared" si="9"/>
        <v>4.0549876899999999</v>
      </c>
      <c r="G33" s="30">
        <f t="shared" si="10"/>
        <v>8.1655287113529997</v>
      </c>
      <c r="H33" s="30">
        <f t="shared" si="11"/>
        <v>16.442925166051534</v>
      </c>
      <c r="I33" s="30">
        <f t="shared" si="12"/>
        <v>-0.12288000138874196</v>
      </c>
      <c r="J33" s="30">
        <f t="shared" si="13"/>
        <v>-0.2474434587965097</v>
      </c>
      <c r="K33" s="30">
        <f t="shared" ca="1" si="5"/>
        <v>-6.0555920370551797E-2</v>
      </c>
      <c r="L33" s="30">
        <f t="shared" ca="1" si="14"/>
        <v>2.1723021577512428E-7</v>
      </c>
      <c r="M33" s="30">
        <f t="shared" ca="1" si="6"/>
        <v>0.44217629161866873</v>
      </c>
      <c r="N33" s="30">
        <f t="shared" ca="1" si="7"/>
        <v>0.4758191222542546</v>
      </c>
      <c r="O33" s="30">
        <f t="shared" ca="1" si="8"/>
        <v>3.1321956532939454E-2</v>
      </c>
      <c r="P33" s="15">
        <f t="shared" ca="1" si="15"/>
        <v>-4.6607962385747381E-4</v>
      </c>
      <c r="Q33" s="15"/>
      <c r="R33" s="15"/>
      <c r="S33" s="15"/>
      <c r="T33" s="15"/>
    </row>
    <row r="34" spans="1:20" x14ac:dyDescent="0.2">
      <c r="A34" s="75">
        <v>20390</v>
      </c>
      <c r="B34" s="75">
        <v>-6.2239999992016237E-2</v>
      </c>
      <c r="C34" s="15"/>
      <c r="D34" s="76">
        <f t="shared" si="3"/>
        <v>2.0390000000000001</v>
      </c>
      <c r="E34" s="76">
        <f t="shared" si="4"/>
        <v>-6.2239999992016237E-2</v>
      </c>
      <c r="F34" s="30">
        <f t="shared" si="9"/>
        <v>4.1575210000000009</v>
      </c>
      <c r="G34" s="30">
        <f t="shared" si="10"/>
        <v>8.4771853190000019</v>
      </c>
      <c r="H34" s="30">
        <f t="shared" si="11"/>
        <v>17.284980865441007</v>
      </c>
      <c r="I34" s="30">
        <f t="shared" si="12"/>
        <v>-0.12690735998372113</v>
      </c>
      <c r="J34" s="30">
        <f t="shared" si="13"/>
        <v>-0.25876410700680741</v>
      </c>
      <c r="K34" s="30">
        <f t="shared" ca="1" si="5"/>
        <v>-6.2036375569108348E-2</v>
      </c>
      <c r="L34" s="30">
        <f t="shared" ca="1" si="14"/>
        <v>4.1462905604570724E-8</v>
      </c>
      <c r="M34" s="30">
        <f t="shared" ca="1" si="6"/>
        <v>0.23038186832016289</v>
      </c>
      <c r="N34" s="30">
        <f t="shared" ca="1" si="7"/>
        <v>0.24310379383909983</v>
      </c>
      <c r="O34" s="30">
        <f t="shared" ca="1" si="8"/>
        <v>1.564216631900632E-2</v>
      </c>
      <c r="P34" s="15">
        <f t="shared" ca="1" si="15"/>
        <v>-2.0362442290788874E-4</v>
      </c>
      <c r="Q34" s="15"/>
      <c r="R34" s="15"/>
      <c r="S34" s="15"/>
      <c r="T34" s="15"/>
    </row>
    <row r="35" spans="1:20" x14ac:dyDescent="0.2">
      <c r="A35" s="75">
        <v>20478</v>
      </c>
      <c r="B35" s="75">
        <v>-6.1968000001797918E-2</v>
      </c>
      <c r="C35" s="15"/>
      <c r="D35" s="76">
        <f t="shared" si="3"/>
        <v>2.0478000000000001</v>
      </c>
      <c r="E35" s="76">
        <f t="shared" si="4"/>
        <v>-6.1968000001797918E-2</v>
      </c>
      <c r="F35" s="30">
        <f t="shared" si="9"/>
        <v>4.19348484</v>
      </c>
      <c r="G35" s="30">
        <f t="shared" si="10"/>
        <v>8.5874182553520004</v>
      </c>
      <c r="H35" s="30">
        <f t="shared" si="11"/>
        <v>17.585315103309824</v>
      </c>
      <c r="I35" s="30">
        <f t="shared" si="12"/>
        <v>-0.12689807040368178</v>
      </c>
      <c r="J35" s="30">
        <f t="shared" si="13"/>
        <v>-0.25986186857265958</v>
      </c>
      <c r="K35" s="30">
        <f t="shared" ca="1" si="5"/>
        <v>-6.2528914678681546E-2</v>
      </c>
      <c r="L35" s="30">
        <f t="shared" ca="1" si="14"/>
        <v>3.1462527474346497E-7</v>
      </c>
      <c r="M35" s="30">
        <f t="shared" ca="1" si="6"/>
        <v>0.16303285074946447</v>
      </c>
      <c r="N35" s="30">
        <f t="shared" ca="1" si="7"/>
        <v>0.16995099147971349</v>
      </c>
      <c r="O35" s="30">
        <f t="shared" ca="1" si="8"/>
        <v>1.0776012599616969E-2</v>
      </c>
      <c r="P35" s="15">
        <f t="shared" ca="1" si="15"/>
        <v>5.6091467688362817E-4</v>
      </c>
      <c r="Q35" s="15"/>
      <c r="R35" s="15"/>
      <c r="S35" s="15"/>
      <c r="T35" s="15"/>
    </row>
    <row r="36" spans="1:20" x14ac:dyDescent="0.2">
      <c r="A36" s="75">
        <v>20823</v>
      </c>
      <c r="B36" s="75">
        <v>-6.2797999999020249E-2</v>
      </c>
      <c r="C36" s="15"/>
      <c r="D36" s="76">
        <f t="shared" si="3"/>
        <v>2.0823</v>
      </c>
      <c r="E36" s="76">
        <f t="shared" si="4"/>
        <v>-6.2797999999020249E-2</v>
      </c>
      <c r="F36" s="30">
        <f t="shared" si="9"/>
        <v>4.3359732900000001</v>
      </c>
      <c r="G36" s="30">
        <f t="shared" si="10"/>
        <v>9.0287971817670005</v>
      </c>
      <c r="H36" s="30">
        <f t="shared" si="11"/>
        <v>18.800664371593424</v>
      </c>
      <c r="I36" s="30">
        <f t="shared" si="12"/>
        <v>-0.13076427539795987</v>
      </c>
      <c r="J36" s="30">
        <f t="shared" si="13"/>
        <v>-0.27229045066117186</v>
      </c>
      <c r="K36" s="30">
        <f t="shared" ca="1" si="5"/>
        <v>-6.4348371700553575E-2</v>
      </c>
      <c r="L36" s="30">
        <f t="shared" ca="1" si="14"/>
        <v>2.4036524129153412E-6</v>
      </c>
      <c r="M36" s="30">
        <f t="shared" ca="1" si="6"/>
        <v>2.1097426315624299E-3</v>
      </c>
      <c r="N36" s="30">
        <f t="shared" ca="1" si="7"/>
        <v>1.1469650214691414E-3</v>
      </c>
      <c r="O36" s="30">
        <f t="shared" ca="1" si="8"/>
        <v>2.0249101345788802E-5</v>
      </c>
      <c r="P36" s="15">
        <f t="shared" ca="1" si="15"/>
        <v>1.5503717015333263E-3</v>
      </c>
      <c r="Q36" s="15"/>
      <c r="R36" s="15"/>
      <c r="S36" s="15"/>
      <c r="T36" s="15"/>
    </row>
    <row r="37" spans="1:20" x14ac:dyDescent="0.2">
      <c r="A37" s="75">
        <v>21014</v>
      </c>
      <c r="B37" s="75">
        <v>-6.4384000004793052E-2</v>
      </c>
      <c r="C37" s="15"/>
      <c r="D37" s="76">
        <f t="shared" si="3"/>
        <v>2.1013999999999999</v>
      </c>
      <c r="E37" s="76">
        <f t="shared" si="4"/>
        <v>-6.4384000004793052E-2</v>
      </c>
      <c r="F37" s="30">
        <f t="shared" si="9"/>
        <v>4.4158819600000001</v>
      </c>
      <c r="G37" s="30">
        <f t="shared" si="10"/>
        <v>9.2795343507439991</v>
      </c>
      <c r="H37" s="30">
        <f t="shared" si="11"/>
        <v>19.500013484653444</v>
      </c>
      <c r="I37" s="30">
        <f t="shared" si="12"/>
        <v>-0.13529653761007213</v>
      </c>
      <c r="J37" s="30">
        <f t="shared" si="13"/>
        <v>-0.28431214413380557</v>
      </c>
      <c r="K37" s="30">
        <f t="shared" ca="1" si="5"/>
        <v>-6.5279238690220065E-2</v>
      </c>
      <c r="L37" s="30">
        <f t="shared" ca="1" si="14"/>
        <v>8.0145230388508692E-7</v>
      </c>
      <c r="M37" s="30">
        <f t="shared" ca="1" si="6"/>
        <v>3.7117989019890552E-2</v>
      </c>
      <c r="N37" s="30">
        <f t="shared" ca="1" si="7"/>
        <v>4.7448551854295119E-2</v>
      </c>
      <c r="O37" s="30">
        <f t="shared" ca="1" si="8"/>
        <v>3.7715674179333069E-3</v>
      </c>
      <c r="P37" s="15">
        <f t="shared" ca="1" si="15"/>
        <v>8.9523868542701335E-4</v>
      </c>
      <c r="Q37" s="15"/>
      <c r="R37" s="15"/>
      <c r="S37" s="15"/>
      <c r="T37" s="15"/>
    </row>
    <row r="38" spans="1:20" x14ac:dyDescent="0.2">
      <c r="A38" s="75">
        <v>21059</v>
      </c>
      <c r="B38" s="75">
        <v>-6.9004000004497357E-2</v>
      </c>
      <c r="C38" s="15"/>
      <c r="D38" s="76">
        <f t="shared" si="3"/>
        <v>2.1059000000000001</v>
      </c>
      <c r="E38" s="76">
        <f t="shared" si="4"/>
        <v>-6.9004000004497357E-2</v>
      </c>
      <c r="F38" s="30">
        <f t="shared" si="9"/>
        <v>4.4348148100000007</v>
      </c>
      <c r="G38" s="30">
        <f t="shared" si="10"/>
        <v>9.339276508379001</v>
      </c>
      <c r="H38" s="30">
        <f t="shared" si="11"/>
        <v>19.667582398995343</v>
      </c>
      <c r="I38" s="30">
        <f t="shared" si="12"/>
        <v>-0.145315523609471</v>
      </c>
      <c r="J38" s="30">
        <f t="shared" si="13"/>
        <v>-0.30601996116918501</v>
      </c>
      <c r="K38" s="30">
        <f t="shared" ca="1" si="5"/>
        <v>-6.549062476912848E-2</v>
      </c>
      <c r="L38" s="30">
        <f t="shared" ca="1" si="14"/>
        <v>1.2343805544503306E-5</v>
      </c>
      <c r="M38" s="30">
        <f t="shared" ca="1" si="6"/>
        <v>6.4045758203531394E-2</v>
      </c>
      <c r="N38" s="30">
        <f t="shared" ca="1" si="7"/>
        <v>7.9245221354907677E-2</v>
      </c>
      <c r="O38" s="30">
        <f t="shared" ca="1" si="8"/>
        <v>6.0959497233803537E-3</v>
      </c>
      <c r="P38" s="15">
        <f t="shared" ca="1" si="15"/>
        <v>-3.5133752353688763E-3</v>
      </c>
      <c r="Q38" s="15"/>
      <c r="R38" s="15"/>
      <c r="S38" s="15"/>
      <c r="T38" s="15"/>
    </row>
    <row r="39" spans="1:20" x14ac:dyDescent="0.2">
      <c r="A39" s="75">
        <v>21135</v>
      </c>
      <c r="B39" s="75">
        <v>-6.4109999992069788E-2</v>
      </c>
      <c r="C39" s="15"/>
      <c r="D39" s="76">
        <f t="shared" si="3"/>
        <v>2.1135000000000002</v>
      </c>
      <c r="E39" s="76">
        <f t="shared" si="4"/>
        <v>-6.4109999992069788E-2</v>
      </c>
      <c r="F39" s="30">
        <f t="shared" si="9"/>
        <v>4.4668822500000003</v>
      </c>
      <c r="G39" s="30">
        <f t="shared" si="10"/>
        <v>9.4407556353750017</v>
      </c>
      <c r="H39" s="30">
        <f t="shared" si="11"/>
        <v>19.953037035365064</v>
      </c>
      <c r="I39" s="30">
        <f t="shared" si="12"/>
        <v>-0.13549648498323952</v>
      </c>
      <c r="J39" s="30">
        <f t="shared" si="13"/>
        <v>-0.28637182101207675</v>
      </c>
      <c r="K39" s="30">
        <f t="shared" ca="1" si="5"/>
        <v>-6.5840767292416946E-2</v>
      </c>
      <c r="L39" s="30">
        <f t="shared" ca="1" si="14"/>
        <v>2.9955554479509893E-6</v>
      </c>
      <c r="M39" s="30">
        <f t="shared" ca="1" si="6"/>
        <v>0.12869350983901823</v>
      </c>
      <c r="N39" s="30">
        <f t="shared" ca="1" si="7"/>
        <v>0.15432537360110693</v>
      </c>
      <c r="O39" s="30">
        <f t="shared" ca="1" si="8"/>
        <v>1.1492155509160875E-2</v>
      </c>
      <c r="P39" s="15">
        <f t="shared" ca="1" si="15"/>
        <v>1.730767300347158E-3</v>
      </c>
      <c r="Q39" s="15"/>
      <c r="R39" s="15"/>
      <c r="S39" s="15"/>
      <c r="T39" s="15"/>
    </row>
    <row r="40" spans="1:20" x14ac:dyDescent="0.2">
      <c r="A40" s="75">
        <v>21146</v>
      </c>
      <c r="B40" s="75">
        <v>-6.8376000002899673E-2</v>
      </c>
      <c r="C40" s="15"/>
      <c r="D40" s="76">
        <f t="shared" si="3"/>
        <v>2.1145999999999998</v>
      </c>
      <c r="E40" s="76">
        <f t="shared" si="4"/>
        <v>-6.8376000002899673E-2</v>
      </c>
      <c r="F40" s="30">
        <f t="shared" si="9"/>
        <v>4.471533159999999</v>
      </c>
      <c r="G40" s="30">
        <f t="shared" si="10"/>
        <v>9.4555040201359972</v>
      </c>
      <c r="H40" s="30">
        <f t="shared" si="11"/>
        <v>19.994608800979577</v>
      </c>
      <c r="I40" s="30">
        <f t="shared" si="12"/>
        <v>-0.14458788960613164</v>
      </c>
      <c r="J40" s="30">
        <f t="shared" si="13"/>
        <v>-0.30574555136112597</v>
      </c>
      <c r="K40" s="30">
        <f t="shared" ca="1" si="5"/>
        <v>-6.5890731387691692E-2</v>
      </c>
      <c r="L40" s="30">
        <f t="shared" ca="1" si="14"/>
        <v>6.1765600897377935E-6</v>
      </c>
      <c r="M40" s="30">
        <f t="shared" ca="1" si="6"/>
        <v>0.14018359009239886</v>
      </c>
      <c r="N40" s="30">
        <f t="shared" ca="1" si="7"/>
        <v>0.16756897453634681</v>
      </c>
      <c r="O40" s="30">
        <f t="shared" ca="1" si="8"/>
        <v>1.2436515980329762E-2</v>
      </c>
      <c r="P40" s="15">
        <f t="shared" ca="1" si="15"/>
        <v>-2.4852686152079806E-3</v>
      </c>
      <c r="Q40" s="15"/>
      <c r="R40" s="15"/>
      <c r="S40" s="15"/>
      <c r="T40" s="15"/>
    </row>
    <row r="41" spans="1:20" x14ac:dyDescent="0.2">
      <c r="A41" s="75">
        <v>21437</v>
      </c>
      <c r="B41" s="75">
        <v>-6.5321999994921498E-2</v>
      </c>
      <c r="C41" s="15"/>
      <c r="D41" s="76">
        <f t="shared" si="3"/>
        <v>2.1436999999999999</v>
      </c>
      <c r="E41" s="76">
        <f t="shared" si="4"/>
        <v>-6.5321999994921498E-2</v>
      </c>
      <c r="F41" s="30">
        <f t="shared" si="9"/>
        <v>4.5954496899999997</v>
      </c>
      <c r="G41" s="30">
        <f t="shared" si="10"/>
        <v>9.8512655004529996</v>
      </c>
      <c r="H41" s="30">
        <f t="shared" si="11"/>
        <v>21.118157853321094</v>
      </c>
      <c r="I41" s="30">
        <f t="shared" si="12"/>
        <v>-0.14003077138911321</v>
      </c>
      <c r="J41" s="30">
        <f t="shared" si="13"/>
        <v>-0.30018396462684199</v>
      </c>
      <c r="K41" s="30">
        <f t="shared" ca="1" si="5"/>
        <v>-6.7146902394244756E-2</v>
      </c>
      <c r="L41" s="30">
        <f t="shared" ca="1" si="14"/>
        <v>3.3302687670557847E-6</v>
      </c>
      <c r="M41" s="30">
        <f t="shared" ca="1" si="6"/>
        <v>0.67858686883056929</v>
      </c>
      <c r="N41" s="30">
        <f t="shared" ca="1" si="7"/>
        <v>0.77850788308440899</v>
      </c>
      <c r="O41" s="30">
        <f t="shared" ca="1" si="8"/>
        <v>5.5284585785751003E-2</v>
      </c>
      <c r="P41" s="15">
        <f t="shared" ca="1" si="15"/>
        <v>1.8249023993232583E-3</v>
      </c>
      <c r="Q41" s="15"/>
      <c r="R41" s="15"/>
      <c r="S41" s="15"/>
      <c r="T41" s="15"/>
    </row>
    <row r="42" spans="1:20" x14ac:dyDescent="0.2">
      <c r="A42" s="75">
        <v>21835</v>
      </c>
      <c r="B42" s="75">
        <v>-6.8409999999857973E-2</v>
      </c>
      <c r="C42" s="15"/>
      <c r="D42" s="76">
        <f t="shared" si="3"/>
        <v>2.1835</v>
      </c>
      <c r="E42" s="76">
        <f t="shared" si="4"/>
        <v>-6.8409999999857973E-2</v>
      </c>
      <c r="F42" s="30">
        <f t="shared" si="9"/>
        <v>4.7676722500000004</v>
      </c>
      <c r="G42" s="30">
        <f t="shared" si="10"/>
        <v>10.410212357875</v>
      </c>
      <c r="H42" s="30">
        <f t="shared" si="11"/>
        <v>22.730698683420066</v>
      </c>
      <c r="I42" s="30">
        <f t="shared" si="12"/>
        <v>-0.14937323499968988</v>
      </c>
      <c r="J42" s="30">
        <f t="shared" si="13"/>
        <v>-0.32615645862182285</v>
      </c>
      <c r="K42" s="30">
        <f t="shared" ca="1" si="5"/>
        <v>-6.8660249903166215E-2</v>
      </c>
      <c r="L42" s="30">
        <f t="shared" ca="1" si="14"/>
        <v>6.2625014105784321E-8</v>
      </c>
      <c r="M42" s="30">
        <f t="shared" ca="1" si="6"/>
        <v>2.3925265451877364</v>
      </c>
      <c r="N42" s="30">
        <f t="shared" ca="1" si="7"/>
        <v>2.6971160503350999</v>
      </c>
      <c r="O42" s="30">
        <f t="shared" ca="1" si="8"/>
        <v>0.18789799958046627</v>
      </c>
      <c r="P42" s="15">
        <f t="shared" ca="1" si="15"/>
        <v>2.5024990330824171E-4</v>
      </c>
      <c r="Q42" s="15"/>
      <c r="R42" s="15"/>
      <c r="S42" s="15"/>
      <c r="T42" s="15"/>
    </row>
    <row r="43" spans="1:20" x14ac:dyDescent="0.2">
      <c r="A43" s="75"/>
      <c r="B43" s="75"/>
      <c r="C43" s="15"/>
      <c r="D43" s="76">
        <f t="shared" si="3"/>
        <v>0</v>
      </c>
      <c r="E43" s="76">
        <f t="shared" si="4"/>
        <v>0</v>
      </c>
      <c r="F43" s="30">
        <f t="shared" si="9"/>
        <v>0</v>
      </c>
      <c r="G43" s="30">
        <f t="shared" si="10"/>
        <v>0</v>
      </c>
      <c r="H43" s="30">
        <f t="shared" si="11"/>
        <v>0</v>
      </c>
      <c r="I43" s="30">
        <f t="shared" si="12"/>
        <v>0</v>
      </c>
      <c r="J43" s="30">
        <f t="shared" si="13"/>
        <v>0</v>
      </c>
      <c r="K43" s="30">
        <f t="shared" ca="1" si="5"/>
        <v>0.36379750296008423</v>
      </c>
      <c r="L43" s="30">
        <f t="shared" ca="1" si="14"/>
        <v>0.13234862315999249</v>
      </c>
      <c r="M43" s="30">
        <f t="shared" ca="1" si="6"/>
        <v>21601.486826857643</v>
      </c>
      <c r="N43" s="30">
        <f t="shared" ca="1" si="7"/>
        <v>23392.497308499947</v>
      </c>
      <c r="O43" s="30">
        <f t="shared" ca="1" si="8"/>
        <v>1563.6819446529491</v>
      </c>
      <c r="P43" s="15">
        <f t="shared" ca="1" si="15"/>
        <v>-0.36379750296008423</v>
      </c>
      <c r="Q43" s="15"/>
      <c r="R43" s="15"/>
      <c r="S43" s="15"/>
      <c r="T43" s="15"/>
    </row>
    <row r="44" spans="1:20" x14ac:dyDescent="0.2">
      <c r="A44" s="75"/>
      <c r="B44" s="75"/>
      <c r="C44" s="15"/>
      <c r="D44" s="76">
        <f t="shared" si="3"/>
        <v>0</v>
      </c>
      <c r="E44" s="76">
        <f t="shared" si="4"/>
        <v>0</v>
      </c>
      <c r="F44" s="30">
        <f t="shared" si="9"/>
        <v>0</v>
      </c>
      <c r="G44" s="30">
        <f t="shared" si="10"/>
        <v>0</v>
      </c>
      <c r="H44" s="30">
        <f t="shared" si="11"/>
        <v>0</v>
      </c>
      <c r="I44" s="30">
        <f t="shared" si="12"/>
        <v>0</v>
      </c>
      <c r="J44" s="30">
        <f t="shared" si="13"/>
        <v>0</v>
      </c>
      <c r="K44" s="30">
        <f t="shared" ca="1" si="5"/>
        <v>0.36379750296008423</v>
      </c>
      <c r="L44" s="30">
        <f t="shared" ca="1" si="14"/>
        <v>0.13234862315999249</v>
      </c>
      <c r="M44" s="30">
        <f t="shared" ca="1" si="6"/>
        <v>21601.486826857643</v>
      </c>
      <c r="N44" s="30">
        <f t="shared" ca="1" si="7"/>
        <v>23392.497308499947</v>
      </c>
      <c r="O44" s="30">
        <f t="shared" ca="1" si="8"/>
        <v>1563.6819446529491</v>
      </c>
      <c r="P44" s="15">
        <f t="shared" ca="1" si="15"/>
        <v>-0.36379750296008423</v>
      </c>
      <c r="Q44" s="15"/>
      <c r="R44" s="15"/>
      <c r="S44" s="15"/>
      <c r="T44" s="15"/>
    </row>
    <row r="45" spans="1:20" x14ac:dyDescent="0.2">
      <c r="A45" s="75"/>
      <c r="B45" s="75"/>
      <c r="C45" s="15"/>
      <c r="D45" s="76">
        <f t="shared" si="3"/>
        <v>0</v>
      </c>
      <c r="E45" s="76">
        <f t="shared" si="4"/>
        <v>0</v>
      </c>
      <c r="F45" s="30">
        <f t="shared" si="9"/>
        <v>0</v>
      </c>
      <c r="G45" s="30">
        <f t="shared" si="10"/>
        <v>0</v>
      </c>
      <c r="H45" s="30">
        <f t="shared" si="11"/>
        <v>0</v>
      </c>
      <c r="I45" s="30">
        <f t="shared" si="12"/>
        <v>0</v>
      </c>
      <c r="J45" s="30">
        <f t="shared" si="13"/>
        <v>0</v>
      </c>
      <c r="K45" s="30">
        <f t="shared" ca="1" si="5"/>
        <v>0.36379750296008423</v>
      </c>
      <c r="L45" s="30">
        <f t="shared" ca="1" si="14"/>
        <v>0.13234862315999249</v>
      </c>
      <c r="M45" s="30">
        <f t="shared" ca="1" si="6"/>
        <v>21601.486826857643</v>
      </c>
      <c r="N45" s="30">
        <f t="shared" ca="1" si="7"/>
        <v>23392.497308499947</v>
      </c>
      <c r="O45" s="30">
        <f t="shared" ca="1" si="8"/>
        <v>1563.6819446529491</v>
      </c>
      <c r="P45" s="15">
        <f t="shared" ca="1" si="15"/>
        <v>-0.36379750296008423</v>
      </c>
      <c r="Q45" s="15"/>
      <c r="R45" s="15"/>
      <c r="S45" s="15"/>
      <c r="T45" s="15"/>
    </row>
    <row r="46" spans="1:20" x14ac:dyDescent="0.2">
      <c r="A46" s="75"/>
      <c r="B46" s="75"/>
      <c r="C46" s="15"/>
      <c r="D46" s="76">
        <f t="shared" si="3"/>
        <v>0</v>
      </c>
      <c r="E46" s="76">
        <f t="shared" si="4"/>
        <v>0</v>
      </c>
      <c r="F46" s="30">
        <f t="shared" si="9"/>
        <v>0</v>
      </c>
      <c r="G46" s="30">
        <f t="shared" si="10"/>
        <v>0</v>
      </c>
      <c r="H46" s="30">
        <f t="shared" si="11"/>
        <v>0</v>
      </c>
      <c r="I46" s="30">
        <f t="shared" si="12"/>
        <v>0</v>
      </c>
      <c r="J46" s="30">
        <f t="shared" si="13"/>
        <v>0</v>
      </c>
      <c r="K46" s="30">
        <f t="shared" ca="1" si="5"/>
        <v>0.36379750296008423</v>
      </c>
      <c r="L46" s="30">
        <f t="shared" ca="1" si="14"/>
        <v>0.13234862315999249</v>
      </c>
      <c r="M46" s="30">
        <f t="shared" ca="1" si="6"/>
        <v>21601.486826857643</v>
      </c>
      <c r="N46" s="30">
        <f t="shared" ca="1" si="7"/>
        <v>23392.497308499947</v>
      </c>
      <c r="O46" s="30">
        <f t="shared" ca="1" si="8"/>
        <v>1563.6819446529491</v>
      </c>
      <c r="P46" s="15">
        <f t="shared" ca="1" si="15"/>
        <v>-0.36379750296008423</v>
      </c>
      <c r="Q46" s="15"/>
      <c r="R46" s="15"/>
      <c r="S46" s="15"/>
      <c r="T46" s="15"/>
    </row>
    <row r="47" spans="1:20" x14ac:dyDescent="0.2">
      <c r="A47" s="75"/>
      <c r="B47" s="75"/>
      <c r="C47" s="15"/>
      <c r="D47" s="76">
        <f t="shared" si="3"/>
        <v>0</v>
      </c>
      <c r="E47" s="76">
        <f t="shared" si="4"/>
        <v>0</v>
      </c>
      <c r="F47" s="30">
        <f t="shared" si="9"/>
        <v>0</v>
      </c>
      <c r="G47" s="30">
        <f t="shared" si="10"/>
        <v>0</v>
      </c>
      <c r="H47" s="30">
        <f t="shared" si="11"/>
        <v>0</v>
      </c>
      <c r="I47" s="30">
        <f t="shared" si="12"/>
        <v>0</v>
      </c>
      <c r="J47" s="30">
        <f t="shared" si="13"/>
        <v>0</v>
      </c>
      <c r="K47" s="30">
        <f t="shared" ca="1" si="5"/>
        <v>0.36379750296008423</v>
      </c>
      <c r="L47" s="30">
        <f t="shared" ca="1" si="14"/>
        <v>0.13234862315999249</v>
      </c>
      <c r="M47" s="30">
        <f t="shared" ca="1" si="6"/>
        <v>21601.486826857643</v>
      </c>
      <c r="N47" s="30">
        <f t="shared" ca="1" si="7"/>
        <v>23392.497308499947</v>
      </c>
      <c r="O47" s="30">
        <f t="shared" ca="1" si="8"/>
        <v>1563.6819446529491</v>
      </c>
      <c r="P47" s="15">
        <f t="shared" ca="1" si="15"/>
        <v>-0.36379750296008423</v>
      </c>
      <c r="Q47" s="15"/>
      <c r="R47" s="15"/>
      <c r="S47" s="15"/>
      <c r="T47" s="15"/>
    </row>
    <row r="48" spans="1:20" x14ac:dyDescent="0.2">
      <c r="A48" s="75"/>
      <c r="B48" s="75"/>
      <c r="C48" s="15"/>
      <c r="D48" s="76">
        <f t="shared" si="3"/>
        <v>0</v>
      </c>
      <c r="E48" s="76">
        <f t="shared" si="4"/>
        <v>0</v>
      </c>
      <c r="F48" s="30">
        <f t="shared" si="9"/>
        <v>0</v>
      </c>
      <c r="G48" s="30">
        <f t="shared" si="10"/>
        <v>0</v>
      </c>
      <c r="H48" s="30">
        <f t="shared" si="11"/>
        <v>0</v>
      </c>
      <c r="I48" s="30">
        <f t="shared" si="12"/>
        <v>0</v>
      </c>
      <c r="J48" s="30">
        <f t="shared" si="13"/>
        <v>0</v>
      </c>
      <c r="K48" s="30">
        <f t="shared" ca="1" si="5"/>
        <v>0.36379750296008423</v>
      </c>
      <c r="L48" s="30">
        <f t="shared" ca="1" si="14"/>
        <v>0.13234862315999249</v>
      </c>
      <c r="M48" s="30">
        <f t="shared" ca="1" si="6"/>
        <v>21601.486826857643</v>
      </c>
      <c r="N48" s="30">
        <f t="shared" ca="1" si="7"/>
        <v>23392.497308499947</v>
      </c>
      <c r="O48" s="30">
        <f t="shared" ca="1" si="8"/>
        <v>1563.6819446529491</v>
      </c>
      <c r="P48" s="15">
        <f t="shared" ca="1" si="15"/>
        <v>-0.36379750296008423</v>
      </c>
      <c r="Q48" s="15"/>
      <c r="R48" s="15"/>
      <c r="S48" s="15"/>
      <c r="T48" s="15"/>
    </row>
    <row r="49" spans="1:20" x14ac:dyDescent="0.2">
      <c r="A49" s="75"/>
      <c r="B49" s="75"/>
      <c r="C49" s="15"/>
      <c r="D49" s="76">
        <f t="shared" si="3"/>
        <v>0</v>
      </c>
      <c r="E49" s="76">
        <f t="shared" si="4"/>
        <v>0</v>
      </c>
      <c r="F49" s="30">
        <f t="shared" si="9"/>
        <v>0</v>
      </c>
      <c r="G49" s="30">
        <f t="shared" si="10"/>
        <v>0</v>
      </c>
      <c r="H49" s="30">
        <f t="shared" si="11"/>
        <v>0</v>
      </c>
      <c r="I49" s="30">
        <f t="shared" si="12"/>
        <v>0</v>
      </c>
      <c r="J49" s="30">
        <f t="shared" si="13"/>
        <v>0</v>
      </c>
      <c r="K49" s="30">
        <f t="shared" ca="1" si="5"/>
        <v>0.36379750296008423</v>
      </c>
      <c r="L49" s="30">
        <f t="shared" ca="1" si="14"/>
        <v>0.13234862315999249</v>
      </c>
      <c r="M49" s="30">
        <f t="shared" ca="1" si="6"/>
        <v>21601.486826857643</v>
      </c>
      <c r="N49" s="30">
        <f t="shared" ca="1" si="7"/>
        <v>23392.497308499947</v>
      </c>
      <c r="O49" s="30">
        <f t="shared" ca="1" si="8"/>
        <v>1563.6819446529491</v>
      </c>
      <c r="P49" s="15">
        <f t="shared" ca="1" si="15"/>
        <v>-0.36379750296008423</v>
      </c>
      <c r="Q49" s="15"/>
      <c r="R49" s="15"/>
      <c r="S49" s="15"/>
      <c r="T49" s="15"/>
    </row>
    <row r="50" spans="1:20" x14ac:dyDescent="0.2">
      <c r="A50" s="75"/>
      <c r="B50" s="75"/>
      <c r="C50" s="15"/>
      <c r="D50" s="76">
        <f t="shared" si="3"/>
        <v>0</v>
      </c>
      <c r="E50" s="76">
        <f t="shared" si="4"/>
        <v>0</v>
      </c>
      <c r="F50" s="30">
        <f t="shared" si="9"/>
        <v>0</v>
      </c>
      <c r="G50" s="30">
        <f t="shared" si="10"/>
        <v>0</v>
      </c>
      <c r="H50" s="30">
        <f t="shared" si="11"/>
        <v>0</v>
      </c>
      <c r="I50" s="30">
        <f t="shared" si="12"/>
        <v>0</v>
      </c>
      <c r="J50" s="30">
        <f t="shared" si="13"/>
        <v>0</v>
      </c>
      <c r="K50" s="30">
        <f t="shared" ca="1" si="5"/>
        <v>0.36379750296008423</v>
      </c>
      <c r="L50" s="30">
        <f t="shared" ca="1" si="14"/>
        <v>0.13234862315999249</v>
      </c>
      <c r="M50" s="30">
        <f t="shared" ca="1" si="6"/>
        <v>21601.486826857643</v>
      </c>
      <c r="N50" s="30">
        <f t="shared" ca="1" si="7"/>
        <v>23392.497308499947</v>
      </c>
      <c r="O50" s="30">
        <f t="shared" ca="1" si="8"/>
        <v>1563.6819446529491</v>
      </c>
      <c r="P50" s="15">
        <f t="shared" ca="1" si="15"/>
        <v>-0.36379750296008423</v>
      </c>
      <c r="Q50" s="15"/>
      <c r="R50" s="15"/>
      <c r="S50" s="15"/>
      <c r="T50" s="15"/>
    </row>
    <row r="51" spans="1:20" x14ac:dyDescent="0.2">
      <c r="A51" s="75"/>
      <c r="B51" s="75"/>
      <c r="C51" s="15"/>
      <c r="D51" s="76">
        <f t="shared" si="3"/>
        <v>0</v>
      </c>
      <c r="E51" s="76">
        <f t="shared" si="4"/>
        <v>0</v>
      </c>
      <c r="F51" s="30">
        <f t="shared" si="9"/>
        <v>0</v>
      </c>
      <c r="G51" s="30">
        <f t="shared" si="10"/>
        <v>0</v>
      </c>
      <c r="H51" s="30">
        <f t="shared" si="11"/>
        <v>0</v>
      </c>
      <c r="I51" s="30">
        <f t="shared" si="12"/>
        <v>0</v>
      </c>
      <c r="J51" s="30">
        <f t="shared" si="13"/>
        <v>0</v>
      </c>
      <c r="K51" s="30">
        <f t="shared" ca="1" si="5"/>
        <v>0.36379750296008423</v>
      </c>
      <c r="L51" s="30">
        <f t="shared" ca="1" si="14"/>
        <v>0.13234862315999249</v>
      </c>
      <c r="M51" s="30">
        <f t="shared" ca="1" si="6"/>
        <v>21601.486826857643</v>
      </c>
      <c r="N51" s="30">
        <f t="shared" ca="1" si="7"/>
        <v>23392.497308499947</v>
      </c>
      <c r="O51" s="30">
        <f t="shared" ca="1" si="8"/>
        <v>1563.6819446529491</v>
      </c>
      <c r="P51" s="15">
        <f t="shared" ca="1" si="15"/>
        <v>-0.36379750296008423</v>
      </c>
      <c r="Q51" s="15"/>
      <c r="R51" s="15"/>
      <c r="S51" s="15"/>
      <c r="T51" s="15"/>
    </row>
    <row r="52" spans="1:20" x14ac:dyDescent="0.2">
      <c r="A52" s="75"/>
      <c r="B52" s="75"/>
      <c r="C52" s="15"/>
      <c r="D52" s="76">
        <f t="shared" si="3"/>
        <v>0</v>
      </c>
      <c r="E52" s="76">
        <f t="shared" si="4"/>
        <v>0</v>
      </c>
      <c r="F52" s="30">
        <f t="shared" si="9"/>
        <v>0</v>
      </c>
      <c r="G52" s="30">
        <f t="shared" si="10"/>
        <v>0</v>
      </c>
      <c r="H52" s="30">
        <f t="shared" si="11"/>
        <v>0</v>
      </c>
      <c r="I52" s="30">
        <f t="shared" si="12"/>
        <v>0</v>
      </c>
      <c r="J52" s="30">
        <f t="shared" si="13"/>
        <v>0</v>
      </c>
      <c r="K52" s="30">
        <f t="shared" ca="1" si="5"/>
        <v>0.36379750296008423</v>
      </c>
      <c r="L52" s="30">
        <f t="shared" ca="1" si="14"/>
        <v>0.13234862315999249</v>
      </c>
      <c r="M52" s="30">
        <f t="shared" ca="1" si="6"/>
        <v>21601.486826857643</v>
      </c>
      <c r="N52" s="30">
        <f t="shared" ca="1" si="7"/>
        <v>23392.497308499947</v>
      </c>
      <c r="O52" s="30">
        <f t="shared" ca="1" si="8"/>
        <v>1563.6819446529491</v>
      </c>
      <c r="P52" s="15">
        <f t="shared" ca="1" si="15"/>
        <v>-0.36379750296008423</v>
      </c>
      <c r="Q52" s="15"/>
      <c r="R52" s="15"/>
      <c r="S52" s="15"/>
      <c r="T52" s="15"/>
    </row>
    <row r="53" spans="1:20" x14ac:dyDescent="0.2">
      <c r="A53" s="75"/>
      <c r="B53" s="75"/>
      <c r="C53" s="15"/>
      <c r="D53" s="76">
        <f t="shared" ref="D53:D84" si="16">A53/A$18</f>
        <v>0</v>
      </c>
      <c r="E53" s="76">
        <f t="shared" ref="E53:E84" si="17">B53/B$18</f>
        <v>0</v>
      </c>
      <c r="F53" s="30">
        <f t="shared" si="9"/>
        <v>0</v>
      </c>
      <c r="G53" s="30">
        <f t="shared" si="10"/>
        <v>0</v>
      </c>
      <c r="H53" s="30">
        <f t="shared" si="11"/>
        <v>0</v>
      </c>
      <c r="I53" s="30">
        <f t="shared" si="12"/>
        <v>0</v>
      </c>
      <c r="J53" s="30">
        <f t="shared" si="13"/>
        <v>0</v>
      </c>
      <c r="K53" s="30">
        <f t="shared" ref="K53:K84" ca="1" si="18">+E$4+E$5*D53+E$6*D53^2</f>
        <v>0.36379750296008423</v>
      </c>
      <c r="L53" s="30">
        <f t="shared" ca="1" si="14"/>
        <v>0.13234862315999249</v>
      </c>
      <c r="M53" s="30">
        <f t="shared" ref="M53:M84" ca="1" si="19">(M$1-M$2*D53+M$3*F53)^2</f>
        <v>21601.486826857643</v>
      </c>
      <c r="N53" s="30">
        <f t="shared" ref="N53:N84" ca="1" si="20">(-M$2+M$4*D53-M$5*F53)^2</f>
        <v>23392.497308499947</v>
      </c>
      <c r="O53" s="30">
        <f t="shared" ref="O53:O84" ca="1" si="21">+(M$3-D53*M$5+F53*M$6)^2</f>
        <v>1563.6819446529491</v>
      </c>
      <c r="P53" s="15">
        <f t="shared" ca="1" si="15"/>
        <v>-0.36379750296008423</v>
      </c>
      <c r="Q53" s="15"/>
      <c r="R53" s="15"/>
      <c r="S53" s="15"/>
      <c r="T53" s="15"/>
    </row>
    <row r="54" spans="1:20" x14ac:dyDescent="0.2">
      <c r="A54" s="75"/>
      <c r="B54" s="75"/>
      <c r="C54" s="15"/>
      <c r="D54" s="76">
        <f t="shared" si="16"/>
        <v>0</v>
      </c>
      <c r="E54" s="76">
        <f t="shared" si="17"/>
        <v>0</v>
      </c>
      <c r="F54" s="30">
        <f t="shared" si="9"/>
        <v>0</v>
      </c>
      <c r="G54" s="30">
        <f t="shared" si="10"/>
        <v>0</v>
      </c>
      <c r="H54" s="30">
        <f t="shared" si="11"/>
        <v>0</v>
      </c>
      <c r="I54" s="30">
        <f t="shared" si="12"/>
        <v>0</v>
      </c>
      <c r="J54" s="30">
        <f t="shared" si="13"/>
        <v>0</v>
      </c>
      <c r="K54" s="30">
        <f t="shared" ca="1" si="18"/>
        <v>0.36379750296008423</v>
      </c>
      <c r="L54" s="30">
        <f t="shared" ca="1" si="14"/>
        <v>0.13234862315999249</v>
      </c>
      <c r="M54" s="30">
        <f t="shared" ca="1" si="19"/>
        <v>21601.486826857643</v>
      </c>
      <c r="N54" s="30">
        <f t="shared" ca="1" si="20"/>
        <v>23392.497308499947</v>
      </c>
      <c r="O54" s="30">
        <f t="shared" ca="1" si="21"/>
        <v>1563.6819446529491</v>
      </c>
      <c r="P54" s="15">
        <f t="shared" ca="1" si="15"/>
        <v>-0.36379750296008423</v>
      </c>
      <c r="Q54" s="15"/>
      <c r="R54" s="15"/>
      <c r="S54" s="15"/>
      <c r="T54" s="15"/>
    </row>
    <row r="55" spans="1:20" x14ac:dyDescent="0.2">
      <c r="A55" s="75"/>
      <c r="B55" s="75"/>
      <c r="C55" s="15"/>
      <c r="D55" s="76">
        <f t="shared" si="16"/>
        <v>0</v>
      </c>
      <c r="E55" s="76">
        <f t="shared" si="17"/>
        <v>0</v>
      </c>
      <c r="F55" s="30">
        <f t="shared" si="9"/>
        <v>0</v>
      </c>
      <c r="G55" s="30">
        <f t="shared" si="10"/>
        <v>0</v>
      </c>
      <c r="H55" s="30">
        <f t="shared" si="11"/>
        <v>0</v>
      </c>
      <c r="I55" s="30">
        <f t="shared" si="12"/>
        <v>0</v>
      </c>
      <c r="J55" s="30">
        <f t="shared" si="13"/>
        <v>0</v>
      </c>
      <c r="K55" s="30">
        <f t="shared" ca="1" si="18"/>
        <v>0.36379750296008423</v>
      </c>
      <c r="L55" s="30">
        <f t="shared" ca="1" si="14"/>
        <v>0.13234862315999249</v>
      </c>
      <c r="M55" s="30">
        <f t="shared" ca="1" si="19"/>
        <v>21601.486826857643</v>
      </c>
      <c r="N55" s="30">
        <f t="shared" ca="1" si="20"/>
        <v>23392.497308499947</v>
      </c>
      <c r="O55" s="30">
        <f t="shared" ca="1" si="21"/>
        <v>1563.6819446529491</v>
      </c>
      <c r="P55" s="15">
        <f t="shared" ca="1" si="15"/>
        <v>-0.36379750296008423</v>
      </c>
      <c r="Q55" s="15"/>
      <c r="R55" s="15"/>
      <c r="S55" s="15"/>
      <c r="T55" s="15"/>
    </row>
    <row r="56" spans="1:20" x14ac:dyDescent="0.2">
      <c r="A56" s="75"/>
      <c r="B56" s="75"/>
      <c r="C56" s="15"/>
      <c r="D56" s="76">
        <f t="shared" si="16"/>
        <v>0</v>
      </c>
      <c r="E56" s="76">
        <f t="shared" si="17"/>
        <v>0</v>
      </c>
      <c r="F56" s="30">
        <f t="shared" si="9"/>
        <v>0</v>
      </c>
      <c r="G56" s="30">
        <f t="shared" si="10"/>
        <v>0</v>
      </c>
      <c r="H56" s="30">
        <f t="shared" si="11"/>
        <v>0</v>
      </c>
      <c r="I56" s="30">
        <f t="shared" si="12"/>
        <v>0</v>
      </c>
      <c r="J56" s="30">
        <f t="shared" si="13"/>
        <v>0</v>
      </c>
      <c r="K56" s="30">
        <f t="shared" ca="1" si="18"/>
        <v>0.36379750296008423</v>
      </c>
      <c r="L56" s="30">
        <f t="shared" ca="1" si="14"/>
        <v>0.13234862315999249</v>
      </c>
      <c r="M56" s="30">
        <f t="shared" ca="1" si="19"/>
        <v>21601.486826857643</v>
      </c>
      <c r="N56" s="30">
        <f t="shared" ca="1" si="20"/>
        <v>23392.497308499947</v>
      </c>
      <c r="O56" s="30">
        <f t="shared" ca="1" si="21"/>
        <v>1563.6819446529491</v>
      </c>
      <c r="P56" s="15">
        <f t="shared" ca="1" si="15"/>
        <v>-0.36379750296008423</v>
      </c>
      <c r="Q56" s="15"/>
      <c r="R56" s="15"/>
      <c r="S56" s="15"/>
      <c r="T56" s="15"/>
    </row>
    <row r="57" spans="1:20" x14ac:dyDescent="0.2">
      <c r="A57" s="75"/>
      <c r="B57" s="75"/>
      <c r="C57" s="15"/>
      <c r="D57" s="76">
        <f t="shared" si="16"/>
        <v>0</v>
      </c>
      <c r="E57" s="76">
        <f t="shared" si="17"/>
        <v>0</v>
      </c>
      <c r="F57" s="30">
        <f t="shared" si="9"/>
        <v>0</v>
      </c>
      <c r="G57" s="30">
        <f t="shared" si="10"/>
        <v>0</v>
      </c>
      <c r="H57" s="30">
        <f t="shared" si="11"/>
        <v>0</v>
      </c>
      <c r="I57" s="30">
        <f t="shared" si="12"/>
        <v>0</v>
      </c>
      <c r="J57" s="30">
        <f t="shared" si="13"/>
        <v>0</v>
      </c>
      <c r="K57" s="30">
        <f t="shared" ca="1" si="18"/>
        <v>0.36379750296008423</v>
      </c>
      <c r="L57" s="30">
        <f t="shared" ca="1" si="14"/>
        <v>0.13234862315999249</v>
      </c>
      <c r="M57" s="30">
        <f t="shared" ca="1" si="19"/>
        <v>21601.486826857643</v>
      </c>
      <c r="N57" s="30">
        <f t="shared" ca="1" si="20"/>
        <v>23392.497308499947</v>
      </c>
      <c r="O57" s="30">
        <f t="shared" ca="1" si="21"/>
        <v>1563.6819446529491</v>
      </c>
      <c r="P57" s="15">
        <f t="shared" ca="1" si="15"/>
        <v>-0.36379750296008423</v>
      </c>
      <c r="Q57" s="15"/>
      <c r="R57" s="15"/>
      <c r="S57" s="15"/>
      <c r="T57" s="15"/>
    </row>
    <row r="58" spans="1:20" x14ac:dyDescent="0.2">
      <c r="A58" s="75"/>
      <c r="B58" s="75"/>
      <c r="C58" s="15"/>
      <c r="D58" s="76">
        <f t="shared" si="16"/>
        <v>0</v>
      </c>
      <c r="E58" s="76">
        <f t="shared" si="17"/>
        <v>0</v>
      </c>
      <c r="F58" s="30">
        <f t="shared" si="9"/>
        <v>0</v>
      </c>
      <c r="G58" s="30">
        <f t="shared" si="10"/>
        <v>0</v>
      </c>
      <c r="H58" s="30">
        <f t="shared" si="11"/>
        <v>0</v>
      </c>
      <c r="I58" s="30">
        <f t="shared" si="12"/>
        <v>0</v>
      </c>
      <c r="J58" s="30">
        <f t="shared" si="13"/>
        <v>0</v>
      </c>
      <c r="K58" s="30">
        <f t="shared" ca="1" si="18"/>
        <v>0.36379750296008423</v>
      </c>
      <c r="L58" s="30">
        <f t="shared" ca="1" si="14"/>
        <v>0.13234862315999249</v>
      </c>
      <c r="M58" s="30">
        <f t="shared" ca="1" si="19"/>
        <v>21601.486826857643</v>
      </c>
      <c r="N58" s="30">
        <f t="shared" ca="1" si="20"/>
        <v>23392.497308499947</v>
      </c>
      <c r="O58" s="30">
        <f t="shared" ca="1" si="21"/>
        <v>1563.6819446529491</v>
      </c>
      <c r="P58" s="15">
        <f t="shared" ca="1" si="15"/>
        <v>-0.36379750296008423</v>
      </c>
      <c r="Q58" s="15"/>
      <c r="R58" s="15"/>
      <c r="S58" s="15"/>
      <c r="T58" s="15"/>
    </row>
    <row r="59" spans="1:20" x14ac:dyDescent="0.2">
      <c r="A59" s="75"/>
      <c r="B59" s="75"/>
      <c r="C59" s="15"/>
      <c r="D59" s="76">
        <f t="shared" si="16"/>
        <v>0</v>
      </c>
      <c r="E59" s="76">
        <f t="shared" si="17"/>
        <v>0</v>
      </c>
      <c r="F59" s="30">
        <f t="shared" si="9"/>
        <v>0</v>
      </c>
      <c r="G59" s="30">
        <f t="shared" si="10"/>
        <v>0</v>
      </c>
      <c r="H59" s="30">
        <f t="shared" si="11"/>
        <v>0</v>
      </c>
      <c r="I59" s="30">
        <f t="shared" si="12"/>
        <v>0</v>
      </c>
      <c r="J59" s="30">
        <f t="shared" si="13"/>
        <v>0</v>
      </c>
      <c r="K59" s="30">
        <f t="shared" ca="1" si="18"/>
        <v>0.36379750296008423</v>
      </c>
      <c r="L59" s="30">
        <f t="shared" ca="1" si="14"/>
        <v>0.13234862315999249</v>
      </c>
      <c r="M59" s="30">
        <f t="shared" ca="1" si="19"/>
        <v>21601.486826857643</v>
      </c>
      <c r="N59" s="30">
        <f t="shared" ca="1" si="20"/>
        <v>23392.497308499947</v>
      </c>
      <c r="O59" s="30">
        <f t="shared" ca="1" si="21"/>
        <v>1563.6819446529491</v>
      </c>
      <c r="P59" s="15">
        <f t="shared" ca="1" si="15"/>
        <v>-0.36379750296008423</v>
      </c>
      <c r="Q59" s="15"/>
      <c r="R59" s="15"/>
      <c r="S59" s="15"/>
      <c r="T59" s="15"/>
    </row>
    <row r="60" spans="1:20" x14ac:dyDescent="0.2">
      <c r="A60" s="75"/>
      <c r="B60" s="75"/>
      <c r="C60" s="15"/>
      <c r="D60" s="76">
        <f t="shared" si="16"/>
        <v>0</v>
      </c>
      <c r="E60" s="76">
        <f t="shared" si="17"/>
        <v>0</v>
      </c>
      <c r="F60" s="30">
        <f t="shared" si="9"/>
        <v>0</v>
      </c>
      <c r="G60" s="30">
        <f t="shared" si="10"/>
        <v>0</v>
      </c>
      <c r="H60" s="30">
        <f t="shared" si="11"/>
        <v>0</v>
      </c>
      <c r="I60" s="30">
        <f t="shared" si="12"/>
        <v>0</v>
      </c>
      <c r="J60" s="30">
        <f t="shared" si="13"/>
        <v>0</v>
      </c>
      <c r="K60" s="30">
        <f t="shared" ca="1" si="18"/>
        <v>0.36379750296008423</v>
      </c>
      <c r="L60" s="30">
        <f t="shared" ca="1" si="14"/>
        <v>0.13234862315999249</v>
      </c>
      <c r="M60" s="30">
        <f t="shared" ca="1" si="19"/>
        <v>21601.486826857643</v>
      </c>
      <c r="N60" s="30">
        <f t="shared" ca="1" si="20"/>
        <v>23392.497308499947</v>
      </c>
      <c r="O60" s="30">
        <f t="shared" ca="1" si="21"/>
        <v>1563.6819446529491</v>
      </c>
      <c r="P60" s="15">
        <f t="shared" ca="1" si="15"/>
        <v>-0.36379750296008423</v>
      </c>
      <c r="Q60" s="15"/>
      <c r="R60" s="15"/>
      <c r="S60" s="15"/>
      <c r="T60" s="15"/>
    </row>
    <row r="61" spans="1:20" x14ac:dyDescent="0.2">
      <c r="A61" s="75"/>
      <c r="B61" s="75"/>
      <c r="C61" s="15"/>
      <c r="D61" s="76">
        <f t="shared" si="16"/>
        <v>0</v>
      </c>
      <c r="E61" s="76">
        <f t="shared" si="17"/>
        <v>0</v>
      </c>
      <c r="F61" s="30">
        <f t="shared" si="9"/>
        <v>0</v>
      </c>
      <c r="G61" s="30">
        <f t="shared" si="10"/>
        <v>0</v>
      </c>
      <c r="H61" s="30">
        <f t="shared" si="11"/>
        <v>0</v>
      </c>
      <c r="I61" s="30">
        <f t="shared" si="12"/>
        <v>0</v>
      </c>
      <c r="J61" s="30">
        <f t="shared" si="13"/>
        <v>0</v>
      </c>
      <c r="K61" s="30">
        <f t="shared" ca="1" si="18"/>
        <v>0.36379750296008423</v>
      </c>
      <c r="L61" s="30">
        <f t="shared" ca="1" si="14"/>
        <v>0.13234862315999249</v>
      </c>
      <c r="M61" s="30">
        <f t="shared" ca="1" si="19"/>
        <v>21601.486826857643</v>
      </c>
      <c r="N61" s="30">
        <f t="shared" ca="1" si="20"/>
        <v>23392.497308499947</v>
      </c>
      <c r="O61" s="30">
        <f t="shared" ca="1" si="21"/>
        <v>1563.6819446529491</v>
      </c>
      <c r="P61" s="15">
        <f t="shared" ca="1" si="15"/>
        <v>-0.36379750296008423</v>
      </c>
      <c r="Q61" s="15"/>
      <c r="R61" s="15"/>
      <c r="S61" s="15"/>
      <c r="T61" s="15"/>
    </row>
    <row r="62" spans="1:20" x14ac:dyDescent="0.2">
      <c r="A62" s="75"/>
      <c r="B62" s="75"/>
      <c r="C62" s="15"/>
      <c r="D62" s="76">
        <f t="shared" si="16"/>
        <v>0</v>
      </c>
      <c r="E62" s="76">
        <f t="shared" si="17"/>
        <v>0</v>
      </c>
      <c r="F62" s="30">
        <f t="shared" si="9"/>
        <v>0</v>
      </c>
      <c r="G62" s="30">
        <f t="shared" si="10"/>
        <v>0</v>
      </c>
      <c r="H62" s="30">
        <f t="shared" si="11"/>
        <v>0</v>
      </c>
      <c r="I62" s="30">
        <f t="shared" si="12"/>
        <v>0</v>
      </c>
      <c r="J62" s="30">
        <f t="shared" si="13"/>
        <v>0</v>
      </c>
      <c r="K62" s="30">
        <f t="shared" ca="1" si="18"/>
        <v>0.36379750296008423</v>
      </c>
      <c r="L62" s="30">
        <f t="shared" ca="1" si="14"/>
        <v>0.13234862315999249</v>
      </c>
      <c r="M62" s="30">
        <f t="shared" ca="1" si="19"/>
        <v>21601.486826857643</v>
      </c>
      <c r="N62" s="30">
        <f t="shared" ca="1" si="20"/>
        <v>23392.497308499947</v>
      </c>
      <c r="O62" s="30">
        <f t="shared" ca="1" si="21"/>
        <v>1563.6819446529491</v>
      </c>
      <c r="P62" s="15">
        <f t="shared" ca="1" si="15"/>
        <v>-0.36379750296008423</v>
      </c>
      <c r="Q62" s="15"/>
      <c r="R62" s="15"/>
      <c r="S62" s="15"/>
      <c r="T62" s="15"/>
    </row>
    <row r="63" spans="1:20" x14ac:dyDescent="0.2">
      <c r="A63" s="75"/>
      <c r="B63" s="75"/>
      <c r="C63" s="15"/>
      <c r="D63" s="76">
        <f t="shared" si="16"/>
        <v>0</v>
      </c>
      <c r="E63" s="76">
        <f t="shared" si="17"/>
        <v>0</v>
      </c>
      <c r="F63" s="30">
        <f t="shared" si="9"/>
        <v>0</v>
      </c>
      <c r="G63" s="30">
        <f t="shared" si="10"/>
        <v>0</v>
      </c>
      <c r="H63" s="30">
        <f t="shared" si="11"/>
        <v>0</v>
      </c>
      <c r="I63" s="30">
        <f t="shared" si="12"/>
        <v>0</v>
      </c>
      <c r="J63" s="30">
        <f t="shared" si="13"/>
        <v>0</v>
      </c>
      <c r="K63" s="30">
        <f t="shared" ca="1" si="18"/>
        <v>0.36379750296008423</v>
      </c>
      <c r="L63" s="30">
        <f t="shared" ca="1" si="14"/>
        <v>0.13234862315999249</v>
      </c>
      <c r="M63" s="30">
        <f t="shared" ca="1" si="19"/>
        <v>21601.486826857643</v>
      </c>
      <c r="N63" s="30">
        <f t="shared" ca="1" si="20"/>
        <v>23392.497308499947</v>
      </c>
      <c r="O63" s="30">
        <f t="shared" ca="1" si="21"/>
        <v>1563.6819446529491</v>
      </c>
      <c r="P63" s="15">
        <f t="shared" ca="1" si="15"/>
        <v>-0.36379750296008423</v>
      </c>
      <c r="Q63" s="15"/>
      <c r="R63" s="15"/>
      <c r="S63" s="15"/>
      <c r="T63" s="15"/>
    </row>
    <row r="64" spans="1:20" x14ac:dyDescent="0.2">
      <c r="A64" s="75"/>
      <c r="B64" s="75"/>
      <c r="C64" s="15"/>
      <c r="D64" s="76">
        <f t="shared" si="16"/>
        <v>0</v>
      </c>
      <c r="E64" s="76">
        <f t="shared" si="17"/>
        <v>0</v>
      </c>
      <c r="F64" s="30">
        <f t="shared" si="9"/>
        <v>0</v>
      </c>
      <c r="G64" s="30">
        <f t="shared" si="10"/>
        <v>0</v>
      </c>
      <c r="H64" s="30">
        <f t="shared" si="11"/>
        <v>0</v>
      </c>
      <c r="I64" s="30">
        <f t="shared" si="12"/>
        <v>0</v>
      </c>
      <c r="J64" s="30">
        <f t="shared" si="13"/>
        <v>0</v>
      </c>
      <c r="K64" s="30">
        <f t="shared" ca="1" si="18"/>
        <v>0.36379750296008423</v>
      </c>
      <c r="L64" s="30">
        <f t="shared" ca="1" si="14"/>
        <v>0.13234862315999249</v>
      </c>
      <c r="M64" s="30">
        <f t="shared" ca="1" si="19"/>
        <v>21601.486826857643</v>
      </c>
      <c r="N64" s="30">
        <f t="shared" ca="1" si="20"/>
        <v>23392.497308499947</v>
      </c>
      <c r="O64" s="30">
        <f t="shared" ca="1" si="21"/>
        <v>1563.6819446529491</v>
      </c>
      <c r="P64" s="15">
        <f t="shared" ca="1" si="15"/>
        <v>-0.36379750296008423</v>
      </c>
      <c r="Q64" s="15"/>
      <c r="R64" s="15"/>
      <c r="S64" s="15"/>
      <c r="T64" s="15"/>
    </row>
    <row r="65" spans="1:20" x14ac:dyDescent="0.2">
      <c r="A65" s="75"/>
      <c r="B65" s="75"/>
      <c r="C65" s="15"/>
      <c r="D65" s="76">
        <f t="shared" si="16"/>
        <v>0</v>
      </c>
      <c r="E65" s="76">
        <f t="shared" si="17"/>
        <v>0</v>
      </c>
      <c r="F65" s="30">
        <f t="shared" si="9"/>
        <v>0</v>
      </c>
      <c r="G65" s="30">
        <f t="shared" si="10"/>
        <v>0</v>
      </c>
      <c r="H65" s="30">
        <f t="shared" si="11"/>
        <v>0</v>
      </c>
      <c r="I65" s="30">
        <f t="shared" si="12"/>
        <v>0</v>
      </c>
      <c r="J65" s="30">
        <f t="shared" si="13"/>
        <v>0</v>
      </c>
      <c r="K65" s="30">
        <f t="shared" ca="1" si="18"/>
        <v>0.36379750296008423</v>
      </c>
      <c r="L65" s="30">
        <f t="shared" ca="1" si="14"/>
        <v>0.13234862315999249</v>
      </c>
      <c r="M65" s="30">
        <f t="shared" ca="1" si="19"/>
        <v>21601.486826857643</v>
      </c>
      <c r="N65" s="30">
        <f t="shared" ca="1" si="20"/>
        <v>23392.497308499947</v>
      </c>
      <c r="O65" s="30">
        <f t="shared" ca="1" si="21"/>
        <v>1563.6819446529491</v>
      </c>
      <c r="P65" s="15">
        <f t="shared" ca="1" si="15"/>
        <v>-0.36379750296008423</v>
      </c>
      <c r="Q65" s="15"/>
      <c r="R65" s="15"/>
      <c r="S65" s="15"/>
      <c r="T65" s="15"/>
    </row>
    <row r="66" spans="1:20" x14ac:dyDescent="0.2">
      <c r="A66" s="75"/>
      <c r="B66" s="75"/>
      <c r="C66" s="15"/>
      <c r="D66" s="76">
        <f t="shared" si="16"/>
        <v>0</v>
      </c>
      <c r="E66" s="76">
        <f t="shared" si="17"/>
        <v>0</v>
      </c>
      <c r="F66" s="30">
        <f t="shared" si="9"/>
        <v>0</v>
      </c>
      <c r="G66" s="30">
        <f t="shared" si="10"/>
        <v>0</v>
      </c>
      <c r="H66" s="30">
        <f t="shared" si="11"/>
        <v>0</v>
      </c>
      <c r="I66" s="30">
        <f t="shared" si="12"/>
        <v>0</v>
      </c>
      <c r="J66" s="30">
        <f t="shared" si="13"/>
        <v>0</v>
      </c>
      <c r="K66" s="30">
        <f t="shared" ca="1" si="18"/>
        <v>0.36379750296008423</v>
      </c>
      <c r="L66" s="30">
        <f t="shared" ca="1" si="14"/>
        <v>0.13234862315999249</v>
      </c>
      <c r="M66" s="30">
        <f t="shared" ca="1" si="19"/>
        <v>21601.486826857643</v>
      </c>
      <c r="N66" s="30">
        <f t="shared" ca="1" si="20"/>
        <v>23392.497308499947</v>
      </c>
      <c r="O66" s="30">
        <f t="shared" ca="1" si="21"/>
        <v>1563.6819446529491</v>
      </c>
      <c r="P66" s="15">
        <f t="shared" ca="1" si="15"/>
        <v>-0.36379750296008423</v>
      </c>
      <c r="Q66" s="15"/>
      <c r="R66" s="15"/>
      <c r="S66" s="15"/>
      <c r="T66" s="15"/>
    </row>
    <row r="67" spans="1:20" x14ac:dyDescent="0.2">
      <c r="A67" s="75"/>
      <c r="B67" s="75"/>
      <c r="C67" s="15"/>
      <c r="D67" s="76">
        <f t="shared" si="16"/>
        <v>0</v>
      </c>
      <c r="E67" s="76">
        <f t="shared" si="17"/>
        <v>0</v>
      </c>
      <c r="F67" s="30">
        <f t="shared" si="9"/>
        <v>0</v>
      </c>
      <c r="G67" s="30">
        <f t="shared" si="10"/>
        <v>0</v>
      </c>
      <c r="H67" s="30">
        <f t="shared" si="11"/>
        <v>0</v>
      </c>
      <c r="I67" s="30">
        <f t="shared" si="12"/>
        <v>0</v>
      </c>
      <c r="J67" s="30">
        <f t="shared" si="13"/>
        <v>0</v>
      </c>
      <c r="K67" s="30">
        <f t="shared" ca="1" si="18"/>
        <v>0.36379750296008423</v>
      </c>
      <c r="L67" s="30">
        <f t="shared" ca="1" si="14"/>
        <v>0.13234862315999249</v>
      </c>
      <c r="M67" s="30">
        <f t="shared" ca="1" si="19"/>
        <v>21601.486826857643</v>
      </c>
      <c r="N67" s="30">
        <f t="shared" ca="1" si="20"/>
        <v>23392.497308499947</v>
      </c>
      <c r="O67" s="30">
        <f t="shared" ca="1" si="21"/>
        <v>1563.6819446529491</v>
      </c>
      <c r="P67" s="15">
        <f t="shared" ca="1" si="15"/>
        <v>-0.36379750296008423</v>
      </c>
      <c r="Q67" s="15"/>
      <c r="R67" s="15"/>
      <c r="S67" s="15"/>
      <c r="T67" s="15"/>
    </row>
    <row r="68" spans="1:20" x14ac:dyDescent="0.2">
      <c r="A68" s="75"/>
      <c r="B68" s="75"/>
      <c r="C68" s="15"/>
      <c r="D68" s="76">
        <f t="shared" si="16"/>
        <v>0</v>
      </c>
      <c r="E68" s="76">
        <f t="shared" si="17"/>
        <v>0</v>
      </c>
      <c r="F68" s="30">
        <f t="shared" si="9"/>
        <v>0</v>
      </c>
      <c r="G68" s="30">
        <f t="shared" si="10"/>
        <v>0</v>
      </c>
      <c r="H68" s="30">
        <f t="shared" si="11"/>
        <v>0</v>
      </c>
      <c r="I68" s="30">
        <f t="shared" si="12"/>
        <v>0</v>
      </c>
      <c r="J68" s="30">
        <f t="shared" si="13"/>
        <v>0</v>
      </c>
      <c r="K68" s="30">
        <f t="shared" ca="1" si="18"/>
        <v>0.36379750296008423</v>
      </c>
      <c r="L68" s="30">
        <f t="shared" ca="1" si="14"/>
        <v>0.13234862315999249</v>
      </c>
      <c r="M68" s="30">
        <f t="shared" ca="1" si="19"/>
        <v>21601.486826857643</v>
      </c>
      <c r="N68" s="30">
        <f t="shared" ca="1" si="20"/>
        <v>23392.497308499947</v>
      </c>
      <c r="O68" s="30">
        <f t="shared" ca="1" si="21"/>
        <v>1563.6819446529491</v>
      </c>
      <c r="P68" s="15">
        <f t="shared" ca="1" si="15"/>
        <v>-0.36379750296008423</v>
      </c>
      <c r="Q68" s="15"/>
      <c r="R68" s="15"/>
      <c r="S68" s="15"/>
      <c r="T68" s="15"/>
    </row>
    <row r="69" spans="1:20" x14ac:dyDescent="0.2">
      <c r="A69" s="75"/>
      <c r="B69" s="75"/>
      <c r="C69" s="15"/>
      <c r="D69" s="76">
        <f t="shared" si="16"/>
        <v>0</v>
      </c>
      <c r="E69" s="76">
        <f t="shared" si="17"/>
        <v>0</v>
      </c>
      <c r="F69" s="30">
        <f t="shared" si="9"/>
        <v>0</v>
      </c>
      <c r="G69" s="30">
        <f t="shared" si="10"/>
        <v>0</v>
      </c>
      <c r="H69" s="30">
        <f t="shared" si="11"/>
        <v>0</v>
      </c>
      <c r="I69" s="30">
        <f t="shared" si="12"/>
        <v>0</v>
      </c>
      <c r="J69" s="30">
        <f t="shared" si="13"/>
        <v>0</v>
      </c>
      <c r="K69" s="30">
        <f t="shared" ca="1" si="18"/>
        <v>0.36379750296008423</v>
      </c>
      <c r="L69" s="30">
        <f t="shared" ca="1" si="14"/>
        <v>0.13234862315999249</v>
      </c>
      <c r="M69" s="30">
        <f t="shared" ca="1" si="19"/>
        <v>21601.486826857643</v>
      </c>
      <c r="N69" s="30">
        <f t="shared" ca="1" si="20"/>
        <v>23392.497308499947</v>
      </c>
      <c r="O69" s="30">
        <f t="shared" ca="1" si="21"/>
        <v>1563.6819446529491</v>
      </c>
      <c r="P69" s="15">
        <f t="shared" ca="1" si="15"/>
        <v>-0.36379750296008423</v>
      </c>
      <c r="Q69" s="15"/>
      <c r="R69" s="15"/>
      <c r="S69" s="15"/>
      <c r="T69" s="15"/>
    </row>
    <row r="70" spans="1:20" x14ac:dyDescent="0.2">
      <c r="A70" s="75"/>
      <c r="B70" s="75"/>
      <c r="C70" s="15"/>
      <c r="D70" s="76">
        <f t="shared" si="16"/>
        <v>0</v>
      </c>
      <c r="E70" s="76">
        <f t="shared" si="17"/>
        <v>0</v>
      </c>
      <c r="F70" s="30">
        <f t="shared" si="9"/>
        <v>0</v>
      </c>
      <c r="G70" s="30">
        <f t="shared" si="10"/>
        <v>0</v>
      </c>
      <c r="H70" s="30">
        <f t="shared" si="11"/>
        <v>0</v>
      </c>
      <c r="I70" s="30">
        <f t="shared" si="12"/>
        <v>0</v>
      </c>
      <c r="J70" s="30">
        <f t="shared" si="13"/>
        <v>0</v>
      </c>
      <c r="K70" s="30">
        <f t="shared" ca="1" si="18"/>
        <v>0.36379750296008423</v>
      </c>
      <c r="L70" s="30">
        <f t="shared" ca="1" si="14"/>
        <v>0.13234862315999249</v>
      </c>
      <c r="M70" s="30">
        <f t="shared" ca="1" si="19"/>
        <v>21601.486826857643</v>
      </c>
      <c r="N70" s="30">
        <f t="shared" ca="1" si="20"/>
        <v>23392.497308499947</v>
      </c>
      <c r="O70" s="30">
        <f t="shared" ca="1" si="21"/>
        <v>1563.6819446529491</v>
      </c>
      <c r="P70" s="15">
        <f t="shared" ca="1" si="15"/>
        <v>-0.36379750296008423</v>
      </c>
      <c r="Q70" s="15"/>
      <c r="R70" s="15"/>
      <c r="S70" s="15"/>
      <c r="T70" s="15"/>
    </row>
    <row r="71" spans="1:20" x14ac:dyDescent="0.2">
      <c r="A71" s="75"/>
      <c r="B71" s="75"/>
      <c r="C71" s="15"/>
      <c r="D71" s="76">
        <f t="shared" si="16"/>
        <v>0</v>
      </c>
      <c r="E71" s="76">
        <f t="shared" si="17"/>
        <v>0</v>
      </c>
      <c r="F71" s="30">
        <f t="shared" si="9"/>
        <v>0</v>
      </c>
      <c r="G71" s="30">
        <f t="shared" si="10"/>
        <v>0</v>
      </c>
      <c r="H71" s="30">
        <f t="shared" si="11"/>
        <v>0</v>
      </c>
      <c r="I71" s="30">
        <f t="shared" si="12"/>
        <v>0</v>
      </c>
      <c r="J71" s="30">
        <f t="shared" si="13"/>
        <v>0</v>
      </c>
      <c r="K71" s="30">
        <f t="shared" ca="1" si="18"/>
        <v>0.36379750296008423</v>
      </c>
      <c r="L71" s="30">
        <f t="shared" ca="1" si="14"/>
        <v>0.13234862315999249</v>
      </c>
      <c r="M71" s="30">
        <f t="shared" ca="1" si="19"/>
        <v>21601.486826857643</v>
      </c>
      <c r="N71" s="30">
        <f t="shared" ca="1" si="20"/>
        <v>23392.497308499947</v>
      </c>
      <c r="O71" s="30">
        <f t="shared" ca="1" si="21"/>
        <v>1563.6819446529491</v>
      </c>
      <c r="P71" s="15">
        <f t="shared" ca="1" si="15"/>
        <v>-0.36379750296008423</v>
      </c>
      <c r="Q71" s="15"/>
      <c r="R71" s="15"/>
      <c r="S71" s="15"/>
      <c r="T71" s="15"/>
    </row>
    <row r="72" spans="1:20" x14ac:dyDescent="0.2">
      <c r="A72" s="75"/>
      <c r="B72" s="75"/>
      <c r="C72" s="15"/>
      <c r="D72" s="76">
        <f t="shared" si="16"/>
        <v>0</v>
      </c>
      <c r="E72" s="76">
        <f t="shared" si="17"/>
        <v>0</v>
      </c>
      <c r="F72" s="30">
        <f t="shared" si="9"/>
        <v>0</v>
      </c>
      <c r="G72" s="30">
        <f t="shared" si="10"/>
        <v>0</v>
      </c>
      <c r="H72" s="30">
        <f t="shared" si="11"/>
        <v>0</v>
      </c>
      <c r="I72" s="30">
        <f t="shared" si="12"/>
        <v>0</v>
      </c>
      <c r="J72" s="30">
        <f t="shared" si="13"/>
        <v>0</v>
      </c>
      <c r="K72" s="30">
        <f t="shared" ca="1" si="18"/>
        <v>0.36379750296008423</v>
      </c>
      <c r="L72" s="30">
        <f t="shared" ca="1" si="14"/>
        <v>0.13234862315999249</v>
      </c>
      <c r="M72" s="30">
        <f t="shared" ca="1" si="19"/>
        <v>21601.486826857643</v>
      </c>
      <c r="N72" s="30">
        <f t="shared" ca="1" si="20"/>
        <v>23392.497308499947</v>
      </c>
      <c r="O72" s="30">
        <f t="shared" ca="1" si="21"/>
        <v>1563.6819446529491</v>
      </c>
      <c r="P72" s="15">
        <f t="shared" ca="1" si="15"/>
        <v>-0.36379750296008423</v>
      </c>
      <c r="Q72" s="15"/>
      <c r="R72" s="15"/>
      <c r="S72" s="15"/>
      <c r="T72" s="15"/>
    </row>
    <row r="73" spans="1:20" x14ac:dyDescent="0.2">
      <c r="A73" s="75"/>
      <c r="B73" s="75"/>
      <c r="C73" s="15"/>
      <c r="D73" s="76">
        <f t="shared" si="16"/>
        <v>0</v>
      </c>
      <c r="E73" s="76">
        <f t="shared" si="17"/>
        <v>0</v>
      </c>
      <c r="F73" s="30">
        <f t="shared" si="9"/>
        <v>0</v>
      </c>
      <c r="G73" s="30">
        <f t="shared" si="10"/>
        <v>0</v>
      </c>
      <c r="H73" s="30">
        <f t="shared" si="11"/>
        <v>0</v>
      </c>
      <c r="I73" s="30">
        <f t="shared" si="12"/>
        <v>0</v>
      </c>
      <c r="J73" s="30">
        <f t="shared" si="13"/>
        <v>0</v>
      </c>
      <c r="K73" s="30">
        <f t="shared" ca="1" si="18"/>
        <v>0.36379750296008423</v>
      </c>
      <c r="L73" s="30">
        <f t="shared" ca="1" si="14"/>
        <v>0.13234862315999249</v>
      </c>
      <c r="M73" s="30">
        <f t="shared" ca="1" si="19"/>
        <v>21601.486826857643</v>
      </c>
      <c r="N73" s="30">
        <f t="shared" ca="1" si="20"/>
        <v>23392.497308499947</v>
      </c>
      <c r="O73" s="30">
        <f t="shared" ca="1" si="21"/>
        <v>1563.6819446529491</v>
      </c>
      <c r="P73" s="15">
        <f t="shared" ca="1" si="15"/>
        <v>-0.36379750296008423</v>
      </c>
      <c r="Q73" s="15"/>
      <c r="R73" s="15"/>
      <c r="S73" s="15"/>
      <c r="T73" s="15"/>
    </row>
    <row r="74" spans="1:20" x14ac:dyDescent="0.2">
      <c r="A74" s="75"/>
      <c r="B74" s="75"/>
      <c r="C74" s="15"/>
      <c r="D74" s="76">
        <f t="shared" si="16"/>
        <v>0</v>
      </c>
      <c r="E74" s="76">
        <f t="shared" si="17"/>
        <v>0</v>
      </c>
      <c r="F74" s="30">
        <f t="shared" si="9"/>
        <v>0</v>
      </c>
      <c r="G74" s="30">
        <f t="shared" si="10"/>
        <v>0</v>
      </c>
      <c r="H74" s="30">
        <f t="shared" si="11"/>
        <v>0</v>
      </c>
      <c r="I74" s="30">
        <f t="shared" si="12"/>
        <v>0</v>
      </c>
      <c r="J74" s="30">
        <f t="shared" si="13"/>
        <v>0</v>
      </c>
      <c r="K74" s="30">
        <f t="shared" ca="1" si="18"/>
        <v>0.36379750296008423</v>
      </c>
      <c r="L74" s="30">
        <f t="shared" ca="1" si="14"/>
        <v>0.13234862315999249</v>
      </c>
      <c r="M74" s="30">
        <f t="shared" ca="1" si="19"/>
        <v>21601.486826857643</v>
      </c>
      <c r="N74" s="30">
        <f t="shared" ca="1" si="20"/>
        <v>23392.497308499947</v>
      </c>
      <c r="O74" s="30">
        <f t="shared" ca="1" si="21"/>
        <v>1563.6819446529491</v>
      </c>
      <c r="P74" s="15">
        <f t="shared" ca="1" si="15"/>
        <v>-0.36379750296008423</v>
      </c>
      <c r="Q74" s="15"/>
      <c r="R74" s="15"/>
      <c r="S74" s="15"/>
      <c r="T74" s="15"/>
    </row>
    <row r="75" spans="1:20" x14ac:dyDescent="0.2">
      <c r="A75" s="75"/>
      <c r="B75" s="75"/>
      <c r="C75" s="15"/>
      <c r="D75" s="76">
        <f t="shared" si="16"/>
        <v>0</v>
      </c>
      <c r="E75" s="76">
        <f t="shared" si="17"/>
        <v>0</v>
      </c>
      <c r="F75" s="30">
        <f t="shared" si="9"/>
        <v>0</v>
      </c>
      <c r="G75" s="30">
        <f t="shared" si="10"/>
        <v>0</v>
      </c>
      <c r="H75" s="30">
        <f t="shared" si="11"/>
        <v>0</v>
      </c>
      <c r="I75" s="30">
        <f t="shared" si="12"/>
        <v>0</v>
      </c>
      <c r="J75" s="30">
        <f t="shared" si="13"/>
        <v>0</v>
      </c>
      <c r="K75" s="30">
        <f t="shared" ca="1" si="18"/>
        <v>0.36379750296008423</v>
      </c>
      <c r="L75" s="30">
        <f t="shared" ca="1" si="14"/>
        <v>0.13234862315999249</v>
      </c>
      <c r="M75" s="30">
        <f t="shared" ca="1" si="19"/>
        <v>21601.486826857643</v>
      </c>
      <c r="N75" s="30">
        <f t="shared" ca="1" si="20"/>
        <v>23392.497308499947</v>
      </c>
      <c r="O75" s="30">
        <f t="shared" ca="1" si="21"/>
        <v>1563.6819446529491</v>
      </c>
      <c r="P75" s="15">
        <f t="shared" ca="1" si="15"/>
        <v>-0.36379750296008423</v>
      </c>
      <c r="Q75" s="15"/>
      <c r="R75" s="15"/>
      <c r="S75" s="15"/>
      <c r="T75" s="15"/>
    </row>
    <row r="76" spans="1:20" x14ac:dyDescent="0.2">
      <c r="A76" s="75"/>
      <c r="B76" s="75"/>
      <c r="C76" s="15"/>
      <c r="D76" s="76">
        <f t="shared" si="16"/>
        <v>0</v>
      </c>
      <c r="E76" s="76">
        <f t="shared" si="17"/>
        <v>0</v>
      </c>
      <c r="F76" s="30">
        <f t="shared" si="9"/>
        <v>0</v>
      </c>
      <c r="G76" s="30">
        <f t="shared" si="10"/>
        <v>0</v>
      </c>
      <c r="H76" s="30">
        <f t="shared" si="11"/>
        <v>0</v>
      </c>
      <c r="I76" s="30">
        <f t="shared" si="12"/>
        <v>0</v>
      </c>
      <c r="J76" s="30">
        <f t="shared" si="13"/>
        <v>0</v>
      </c>
      <c r="K76" s="30">
        <f t="shared" ca="1" si="18"/>
        <v>0.36379750296008423</v>
      </c>
      <c r="L76" s="30">
        <f t="shared" ca="1" si="14"/>
        <v>0.13234862315999249</v>
      </c>
      <c r="M76" s="30">
        <f t="shared" ca="1" si="19"/>
        <v>21601.486826857643</v>
      </c>
      <c r="N76" s="30">
        <f t="shared" ca="1" si="20"/>
        <v>23392.497308499947</v>
      </c>
      <c r="O76" s="30">
        <f t="shared" ca="1" si="21"/>
        <v>1563.6819446529491</v>
      </c>
      <c r="P76" s="15">
        <f t="shared" ca="1" si="15"/>
        <v>-0.36379750296008423</v>
      </c>
      <c r="Q76" s="15"/>
      <c r="R76" s="15"/>
      <c r="S76" s="15"/>
      <c r="T76" s="15"/>
    </row>
    <row r="77" spans="1:20" x14ac:dyDescent="0.2">
      <c r="A77" s="75"/>
      <c r="B77" s="75"/>
      <c r="C77" s="15"/>
      <c r="D77" s="76">
        <f t="shared" si="16"/>
        <v>0</v>
      </c>
      <c r="E77" s="76">
        <f t="shared" si="17"/>
        <v>0</v>
      </c>
      <c r="F77" s="30">
        <f t="shared" si="9"/>
        <v>0</v>
      </c>
      <c r="G77" s="30">
        <f t="shared" si="10"/>
        <v>0</v>
      </c>
      <c r="H77" s="30">
        <f t="shared" si="11"/>
        <v>0</v>
      </c>
      <c r="I77" s="30">
        <f t="shared" si="12"/>
        <v>0</v>
      </c>
      <c r="J77" s="30">
        <f t="shared" si="13"/>
        <v>0</v>
      </c>
      <c r="K77" s="30">
        <f t="shared" ca="1" si="18"/>
        <v>0.36379750296008423</v>
      </c>
      <c r="L77" s="30">
        <f t="shared" ca="1" si="14"/>
        <v>0.13234862315999249</v>
      </c>
      <c r="M77" s="30">
        <f t="shared" ca="1" si="19"/>
        <v>21601.486826857643</v>
      </c>
      <c r="N77" s="30">
        <f t="shared" ca="1" si="20"/>
        <v>23392.497308499947</v>
      </c>
      <c r="O77" s="30">
        <f t="shared" ca="1" si="21"/>
        <v>1563.6819446529491</v>
      </c>
      <c r="P77" s="15">
        <f t="shared" ca="1" si="15"/>
        <v>-0.36379750296008423</v>
      </c>
      <c r="Q77" s="15"/>
      <c r="R77" s="15"/>
      <c r="S77" s="15"/>
      <c r="T77" s="15"/>
    </row>
    <row r="78" spans="1:20" x14ac:dyDescent="0.2">
      <c r="A78" s="75"/>
      <c r="B78" s="75"/>
      <c r="C78" s="15"/>
      <c r="D78" s="76">
        <f t="shared" si="16"/>
        <v>0</v>
      </c>
      <c r="E78" s="76">
        <f t="shared" si="17"/>
        <v>0</v>
      </c>
      <c r="F78" s="30">
        <f t="shared" si="9"/>
        <v>0</v>
      </c>
      <c r="G78" s="30">
        <f t="shared" si="10"/>
        <v>0</v>
      </c>
      <c r="H78" s="30">
        <f t="shared" si="11"/>
        <v>0</v>
      </c>
      <c r="I78" s="30">
        <f t="shared" si="12"/>
        <v>0</v>
      </c>
      <c r="J78" s="30">
        <f t="shared" si="13"/>
        <v>0</v>
      </c>
      <c r="K78" s="30">
        <f t="shared" ca="1" si="18"/>
        <v>0.36379750296008423</v>
      </c>
      <c r="L78" s="30">
        <f t="shared" ca="1" si="14"/>
        <v>0.13234862315999249</v>
      </c>
      <c r="M78" s="30">
        <f t="shared" ca="1" si="19"/>
        <v>21601.486826857643</v>
      </c>
      <c r="N78" s="30">
        <f t="shared" ca="1" si="20"/>
        <v>23392.497308499947</v>
      </c>
      <c r="O78" s="30">
        <f t="shared" ca="1" si="21"/>
        <v>1563.6819446529491</v>
      </c>
      <c r="P78" s="15">
        <f t="shared" ca="1" si="15"/>
        <v>-0.36379750296008423</v>
      </c>
      <c r="Q78" s="15"/>
      <c r="R78" s="15"/>
      <c r="S78" s="15"/>
      <c r="T78" s="15"/>
    </row>
    <row r="79" spans="1:20" x14ac:dyDescent="0.2">
      <c r="A79" s="75"/>
      <c r="B79" s="75"/>
      <c r="C79" s="15"/>
      <c r="D79" s="76">
        <f t="shared" si="16"/>
        <v>0</v>
      </c>
      <c r="E79" s="76">
        <f t="shared" si="17"/>
        <v>0</v>
      </c>
      <c r="F79" s="30">
        <f t="shared" si="9"/>
        <v>0</v>
      </c>
      <c r="G79" s="30">
        <f t="shared" si="10"/>
        <v>0</v>
      </c>
      <c r="H79" s="30">
        <f t="shared" si="11"/>
        <v>0</v>
      </c>
      <c r="I79" s="30">
        <f t="shared" si="12"/>
        <v>0</v>
      </c>
      <c r="J79" s="30">
        <f t="shared" si="13"/>
        <v>0</v>
      </c>
      <c r="K79" s="30">
        <f t="shared" ca="1" si="18"/>
        <v>0.36379750296008423</v>
      </c>
      <c r="L79" s="30">
        <f t="shared" ca="1" si="14"/>
        <v>0.13234862315999249</v>
      </c>
      <c r="M79" s="30">
        <f t="shared" ca="1" si="19"/>
        <v>21601.486826857643</v>
      </c>
      <c r="N79" s="30">
        <f t="shared" ca="1" si="20"/>
        <v>23392.497308499947</v>
      </c>
      <c r="O79" s="30">
        <f t="shared" ca="1" si="21"/>
        <v>1563.6819446529491</v>
      </c>
      <c r="P79" s="15">
        <f t="shared" ca="1" si="15"/>
        <v>-0.36379750296008423</v>
      </c>
      <c r="Q79" s="15"/>
      <c r="R79" s="15"/>
      <c r="S79" s="15"/>
      <c r="T79" s="15"/>
    </row>
    <row r="80" spans="1:20" x14ac:dyDescent="0.2">
      <c r="A80" s="75"/>
      <c r="B80" s="75"/>
      <c r="C80" s="15"/>
      <c r="D80" s="76">
        <f t="shared" si="16"/>
        <v>0</v>
      </c>
      <c r="E80" s="76">
        <f t="shared" si="17"/>
        <v>0</v>
      </c>
      <c r="F80" s="30">
        <f t="shared" si="9"/>
        <v>0</v>
      </c>
      <c r="G80" s="30">
        <f t="shared" si="10"/>
        <v>0</v>
      </c>
      <c r="H80" s="30">
        <f t="shared" si="11"/>
        <v>0</v>
      </c>
      <c r="I80" s="30">
        <f t="shared" si="12"/>
        <v>0</v>
      </c>
      <c r="J80" s="30">
        <f t="shared" si="13"/>
        <v>0</v>
      </c>
      <c r="K80" s="30">
        <f t="shared" ca="1" si="18"/>
        <v>0.36379750296008423</v>
      </c>
      <c r="L80" s="30">
        <f t="shared" ca="1" si="14"/>
        <v>0.13234862315999249</v>
      </c>
      <c r="M80" s="30">
        <f t="shared" ca="1" si="19"/>
        <v>21601.486826857643</v>
      </c>
      <c r="N80" s="30">
        <f t="shared" ca="1" si="20"/>
        <v>23392.497308499947</v>
      </c>
      <c r="O80" s="30">
        <f t="shared" ca="1" si="21"/>
        <v>1563.6819446529491</v>
      </c>
      <c r="P80" s="15">
        <f t="shared" ca="1" si="15"/>
        <v>-0.36379750296008423</v>
      </c>
      <c r="Q80" s="15"/>
      <c r="R80" s="15"/>
      <c r="S80" s="15"/>
      <c r="T80" s="15"/>
    </row>
    <row r="81" spans="1:20" x14ac:dyDescent="0.2">
      <c r="A81" s="75"/>
      <c r="B81" s="75"/>
      <c r="C81" s="15"/>
      <c r="D81" s="76">
        <f t="shared" si="16"/>
        <v>0</v>
      </c>
      <c r="E81" s="76">
        <f t="shared" si="17"/>
        <v>0</v>
      </c>
      <c r="F81" s="30">
        <f t="shared" si="9"/>
        <v>0</v>
      </c>
      <c r="G81" s="30">
        <f t="shared" si="10"/>
        <v>0</v>
      </c>
      <c r="H81" s="30">
        <f t="shared" si="11"/>
        <v>0</v>
      </c>
      <c r="I81" s="30">
        <f t="shared" si="12"/>
        <v>0</v>
      </c>
      <c r="J81" s="30">
        <f t="shared" si="13"/>
        <v>0</v>
      </c>
      <c r="K81" s="30">
        <f t="shared" ca="1" si="18"/>
        <v>0.36379750296008423</v>
      </c>
      <c r="L81" s="30">
        <f t="shared" ca="1" si="14"/>
        <v>0.13234862315999249</v>
      </c>
      <c r="M81" s="30">
        <f t="shared" ca="1" si="19"/>
        <v>21601.486826857643</v>
      </c>
      <c r="N81" s="30">
        <f t="shared" ca="1" si="20"/>
        <v>23392.497308499947</v>
      </c>
      <c r="O81" s="30">
        <f t="shared" ca="1" si="21"/>
        <v>1563.6819446529491</v>
      </c>
      <c r="P81" s="15">
        <f t="shared" ca="1" si="15"/>
        <v>-0.36379750296008423</v>
      </c>
      <c r="Q81" s="15"/>
      <c r="R81" s="15"/>
      <c r="S81" s="15"/>
      <c r="T81" s="15"/>
    </row>
    <row r="82" spans="1:20" x14ac:dyDescent="0.2">
      <c r="A82" s="75"/>
      <c r="B82" s="75"/>
      <c r="C82" s="15"/>
      <c r="D82" s="76">
        <f t="shared" si="16"/>
        <v>0</v>
      </c>
      <c r="E82" s="76">
        <f t="shared" si="17"/>
        <v>0</v>
      </c>
      <c r="F82" s="30">
        <f t="shared" si="9"/>
        <v>0</v>
      </c>
      <c r="G82" s="30">
        <f t="shared" si="10"/>
        <v>0</v>
      </c>
      <c r="H82" s="30">
        <f t="shared" si="11"/>
        <v>0</v>
      </c>
      <c r="I82" s="30">
        <f t="shared" si="12"/>
        <v>0</v>
      </c>
      <c r="J82" s="30">
        <f t="shared" si="13"/>
        <v>0</v>
      </c>
      <c r="K82" s="30">
        <f t="shared" ca="1" si="18"/>
        <v>0.36379750296008423</v>
      </c>
      <c r="L82" s="30">
        <f t="shared" ca="1" si="14"/>
        <v>0.13234862315999249</v>
      </c>
      <c r="M82" s="30">
        <f t="shared" ca="1" si="19"/>
        <v>21601.486826857643</v>
      </c>
      <c r="N82" s="30">
        <f t="shared" ca="1" si="20"/>
        <v>23392.497308499947</v>
      </c>
      <c r="O82" s="30">
        <f t="shared" ca="1" si="21"/>
        <v>1563.6819446529491</v>
      </c>
      <c r="P82" s="15">
        <f t="shared" ca="1" si="15"/>
        <v>-0.36379750296008423</v>
      </c>
      <c r="Q82" s="15"/>
      <c r="R82" s="15"/>
      <c r="S82" s="15"/>
      <c r="T82" s="15"/>
    </row>
    <row r="83" spans="1:20" x14ac:dyDescent="0.2">
      <c r="A83" s="75"/>
      <c r="B83" s="75"/>
      <c r="C83" s="15"/>
      <c r="D83" s="76">
        <f t="shared" si="16"/>
        <v>0</v>
      </c>
      <c r="E83" s="76">
        <f t="shared" si="17"/>
        <v>0</v>
      </c>
      <c r="F83" s="30">
        <f t="shared" si="9"/>
        <v>0</v>
      </c>
      <c r="G83" s="30">
        <f t="shared" si="10"/>
        <v>0</v>
      </c>
      <c r="H83" s="30">
        <f t="shared" si="11"/>
        <v>0</v>
      </c>
      <c r="I83" s="30">
        <f t="shared" si="12"/>
        <v>0</v>
      </c>
      <c r="J83" s="30">
        <f t="shared" si="13"/>
        <v>0</v>
      </c>
      <c r="K83" s="30">
        <f t="shared" ca="1" si="18"/>
        <v>0.36379750296008423</v>
      </c>
      <c r="L83" s="30">
        <f t="shared" ca="1" si="14"/>
        <v>0.13234862315999249</v>
      </c>
      <c r="M83" s="30">
        <f t="shared" ca="1" si="19"/>
        <v>21601.486826857643</v>
      </c>
      <c r="N83" s="30">
        <f t="shared" ca="1" si="20"/>
        <v>23392.497308499947</v>
      </c>
      <c r="O83" s="30">
        <f t="shared" ca="1" si="21"/>
        <v>1563.6819446529491</v>
      </c>
      <c r="P83" s="15">
        <f t="shared" ca="1" si="15"/>
        <v>-0.36379750296008423</v>
      </c>
      <c r="Q83" s="15"/>
      <c r="R83" s="15"/>
      <c r="S83" s="15"/>
      <c r="T83" s="15"/>
    </row>
    <row r="84" spans="1:20" x14ac:dyDescent="0.2">
      <c r="A84" s="75"/>
      <c r="B84" s="75"/>
      <c r="C84" s="15"/>
      <c r="D84" s="76">
        <f t="shared" si="16"/>
        <v>0</v>
      </c>
      <c r="E84" s="76">
        <f t="shared" si="17"/>
        <v>0</v>
      </c>
      <c r="F84" s="30">
        <f t="shared" si="9"/>
        <v>0</v>
      </c>
      <c r="G84" s="30">
        <f t="shared" si="10"/>
        <v>0</v>
      </c>
      <c r="H84" s="30">
        <f t="shared" si="11"/>
        <v>0</v>
      </c>
      <c r="I84" s="30">
        <f t="shared" si="12"/>
        <v>0</v>
      </c>
      <c r="J84" s="30">
        <f t="shared" si="13"/>
        <v>0</v>
      </c>
      <c r="K84" s="30">
        <f t="shared" ca="1" si="18"/>
        <v>0.36379750296008423</v>
      </c>
      <c r="L84" s="30">
        <f t="shared" ca="1" si="14"/>
        <v>0.13234862315999249</v>
      </c>
      <c r="M84" s="30">
        <f t="shared" ca="1" si="19"/>
        <v>21601.486826857643</v>
      </c>
      <c r="N84" s="30">
        <f t="shared" ca="1" si="20"/>
        <v>23392.497308499947</v>
      </c>
      <c r="O84" s="30">
        <f t="shared" ca="1" si="21"/>
        <v>1563.6819446529491</v>
      </c>
      <c r="P84" s="15">
        <f t="shared" ca="1" si="15"/>
        <v>-0.36379750296008423</v>
      </c>
      <c r="Q84" s="15"/>
      <c r="R84" s="15"/>
      <c r="S84" s="15"/>
      <c r="T84" s="15"/>
    </row>
    <row r="85" spans="1:20" x14ac:dyDescent="0.2">
      <c r="A85" s="75"/>
      <c r="B85" s="75"/>
      <c r="C85" s="15"/>
      <c r="D85" s="76">
        <f t="shared" ref="D85:D116" si="22">A85/A$18</f>
        <v>0</v>
      </c>
      <c r="E85" s="76">
        <f t="shared" ref="E85:E116" si="23">B85/B$18</f>
        <v>0</v>
      </c>
      <c r="F85" s="30">
        <f t="shared" si="9"/>
        <v>0</v>
      </c>
      <c r="G85" s="30">
        <f t="shared" si="10"/>
        <v>0</v>
      </c>
      <c r="H85" s="30">
        <f t="shared" si="11"/>
        <v>0</v>
      </c>
      <c r="I85" s="30">
        <f t="shared" si="12"/>
        <v>0</v>
      </c>
      <c r="J85" s="30">
        <f t="shared" si="13"/>
        <v>0</v>
      </c>
      <c r="K85" s="30">
        <f t="shared" ref="K85:K116" ca="1" si="24">+E$4+E$5*D85+E$6*D85^2</f>
        <v>0.36379750296008423</v>
      </c>
      <c r="L85" s="30">
        <f t="shared" ca="1" si="14"/>
        <v>0.13234862315999249</v>
      </c>
      <c r="M85" s="30">
        <f t="shared" ref="M85:M116" ca="1" si="25">(M$1-M$2*D85+M$3*F85)^2</f>
        <v>21601.486826857643</v>
      </c>
      <c r="N85" s="30">
        <f t="shared" ref="N85:N116" ca="1" si="26">(-M$2+M$4*D85-M$5*F85)^2</f>
        <v>23392.497308499947</v>
      </c>
      <c r="O85" s="30">
        <f t="shared" ref="O85:O116" ca="1" si="27">+(M$3-D85*M$5+F85*M$6)^2</f>
        <v>1563.6819446529491</v>
      </c>
      <c r="P85" s="15">
        <f t="shared" ca="1" si="15"/>
        <v>-0.36379750296008423</v>
      </c>
      <c r="Q85" s="15"/>
      <c r="R85" s="15"/>
      <c r="S85" s="15"/>
      <c r="T85" s="15"/>
    </row>
    <row r="86" spans="1:20" x14ac:dyDescent="0.2">
      <c r="A86" s="75"/>
      <c r="B86" s="75"/>
      <c r="C86" s="15"/>
      <c r="D86" s="76">
        <f t="shared" si="22"/>
        <v>0</v>
      </c>
      <c r="E86" s="76">
        <f t="shared" si="23"/>
        <v>0</v>
      </c>
      <c r="F86" s="30">
        <f t="shared" ref="F86:F123" si="28">D86*D86</f>
        <v>0</v>
      </c>
      <c r="G86" s="30">
        <f t="shared" ref="G86:G123" si="29">D86*F86</f>
        <v>0</v>
      </c>
      <c r="H86" s="30">
        <f t="shared" ref="H86:H123" si="30">F86*F86</f>
        <v>0</v>
      </c>
      <c r="I86" s="30">
        <f t="shared" ref="I86:I123" si="31">E86*D86</f>
        <v>0</v>
      </c>
      <c r="J86" s="30">
        <f t="shared" ref="J86:J123" si="32">I86*D86</f>
        <v>0</v>
      </c>
      <c r="K86" s="30">
        <f t="shared" ca="1" si="24"/>
        <v>0.36379750296008423</v>
      </c>
      <c r="L86" s="30">
        <f t="shared" ref="L86:L123" ca="1" si="33">+(K86-E86)^2</f>
        <v>0.13234862315999249</v>
      </c>
      <c r="M86" s="30">
        <f t="shared" ca="1" si="25"/>
        <v>21601.486826857643</v>
      </c>
      <c r="N86" s="30">
        <f t="shared" ca="1" si="26"/>
        <v>23392.497308499947</v>
      </c>
      <c r="O86" s="30">
        <f t="shared" ca="1" si="27"/>
        <v>1563.6819446529491</v>
      </c>
      <c r="P86" s="15">
        <f t="shared" ref="P86:P123" ca="1" si="34">+E86-K86</f>
        <v>-0.36379750296008423</v>
      </c>
      <c r="Q86" s="15"/>
      <c r="R86" s="15"/>
      <c r="S86" s="15"/>
      <c r="T86" s="15"/>
    </row>
    <row r="87" spans="1:20" x14ac:dyDescent="0.2">
      <c r="A87" s="75"/>
      <c r="B87" s="75"/>
      <c r="C87" s="15"/>
      <c r="D87" s="76">
        <f t="shared" si="22"/>
        <v>0</v>
      </c>
      <c r="E87" s="76">
        <f t="shared" si="23"/>
        <v>0</v>
      </c>
      <c r="F87" s="30">
        <f t="shared" si="28"/>
        <v>0</v>
      </c>
      <c r="G87" s="30">
        <f t="shared" si="29"/>
        <v>0</v>
      </c>
      <c r="H87" s="30">
        <f t="shared" si="30"/>
        <v>0</v>
      </c>
      <c r="I87" s="30">
        <f t="shared" si="31"/>
        <v>0</v>
      </c>
      <c r="J87" s="30">
        <f t="shared" si="32"/>
        <v>0</v>
      </c>
      <c r="K87" s="30">
        <f t="shared" ca="1" si="24"/>
        <v>0.36379750296008423</v>
      </c>
      <c r="L87" s="30">
        <f t="shared" ca="1" si="33"/>
        <v>0.13234862315999249</v>
      </c>
      <c r="M87" s="30">
        <f t="shared" ca="1" si="25"/>
        <v>21601.486826857643</v>
      </c>
      <c r="N87" s="30">
        <f t="shared" ca="1" si="26"/>
        <v>23392.497308499947</v>
      </c>
      <c r="O87" s="30">
        <f t="shared" ca="1" si="27"/>
        <v>1563.6819446529491</v>
      </c>
      <c r="P87" s="15">
        <f t="shared" ca="1" si="34"/>
        <v>-0.36379750296008423</v>
      </c>
      <c r="Q87" s="15"/>
      <c r="R87" s="15"/>
      <c r="S87" s="15"/>
      <c r="T87" s="15"/>
    </row>
    <row r="88" spans="1:20" x14ac:dyDescent="0.2">
      <c r="A88" s="75"/>
      <c r="B88" s="75"/>
      <c r="C88" s="15"/>
      <c r="D88" s="76">
        <f t="shared" si="22"/>
        <v>0</v>
      </c>
      <c r="E88" s="76">
        <f t="shared" si="23"/>
        <v>0</v>
      </c>
      <c r="F88" s="30">
        <f t="shared" si="28"/>
        <v>0</v>
      </c>
      <c r="G88" s="30">
        <f t="shared" si="29"/>
        <v>0</v>
      </c>
      <c r="H88" s="30">
        <f t="shared" si="30"/>
        <v>0</v>
      </c>
      <c r="I88" s="30">
        <f t="shared" si="31"/>
        <v>0</v>
      </c>
      <c r="J88" s="30">
        <f t="shared" si="32"/>
        <v>0</v>
      </c>
      <c r="K88" s="30">
        <f t="shared" ca="1" si="24"/>
        <v>0.36379750296008423</v>
      </c>
      <c r="L88" s="30">
        <f t="shared" ca="1" si="33"/>
        <v>0.13234862315999249</v>
      </c>
      <c r="M88" s="30">
        <f t="shared" ca="1" si="25"/>
        <v>21601.486826857643</v>
      </c>
      <c r="N88" s="30">
        <f t="shared" ca="1" si="26"/>
        <v>23392.497308499947</v>
      </c>
      <c r="O88" s="30">
        <f t="shared" ca="1" si="27"/>
        <v>1563.6819446529491</v>
      </c>
      <c r="P88" s="15">
        <f t="shared" ca="1" si="34"/>
        <v>-0.36379750296008423</v>
      </c>
      <c r="Q88" s="15"/>
      <c r="R88" s="15"/>
      <c r="S88" s="15"/>
      <c r="T88" s="15"/>
    </row>
    <row r="89" spans="1:20" x14ac:dyDescent="0.2">
      <c r="A89" s="75"/>
      <c r="B89" s="75"/>
      <c r="C89" s="15"/>
      <c r="D89" s="76">
        <f t="shared" si="22"/>
        <v>0</v>
      </c>
      <c r="E89" s="76">
        <f t="shared" si="23"/>
        <v>0</v>
      </c>
      <c r="F89" s="30">
        <f t="shared" si="28"/>
        <v>0</v>
      </c>
      <c r="G89" s="30">
        <f t="shared" si="29"/>
        <v>0</v>
      </c>
      <c r="H89" s="30">
        <f t="shared" si="30"/>
        <v>0</v>
      </c>
      <c r="I89" s="30">
        <f t="shared" si="31"/>
        <v>0</v>
      </c>
      <c r="J89" s="30">
        <f t="shared" si="32"/>
        <v>0</v>
      </c>
      <c r="K89" s="30">
        <f t="shared" ca="1" si="24"/>
        <v>0.36379750296008423</v>
      </c>
      <c r="L89" s="30">
        <f t="shared" ca="1" si="33"/>
        <v>0.13234862315999249</v>
      </c>
      <c r="M89" s="30">
        <f t="shared" ca="1" si="25"/>
        <v>21601.486826857643</v>
      </c>
      <c r="N89" s="30">
        <f t="shared" ca="1" si="26"/>
        <v>23392.497308499947</v>
      </c>
      <c r="O89" s="30">
        <f t="shared" ca="1" si="27"/>
        <v>1563.6819446529491</v>
      </c>
      <c r="P89" s="15">
        <f t="shared" ca="1" si="34"/>
        <v>-0.36379750296008423</v>
      </c>
      <c r="Q89" s="15"/>
      <c r="R89" s="15"/>
      <c r="S89" s="15"/>
      <c r="T89" s="15"/>
    </row>
    <row r="90" spans="1:20" x14ac:dyDescent="0.2">
      <c r="A90" s="75"/>
      <c r="B90" s="75"/>
      <c r="C90" s="15"/>
      <c r="D90" s="76">
        <f t="shared" si="22"/>
        <v>0</v>
      </c>
      <c r="E90" s="76">
        <f t="shared" si="23"/>
        <v>0</v>
      </c>
      <c r="F90" s="30">
        <f t="shared" si="28"/>
        <v>0</v>
      </c>
      <c r="G90" s="30">
        <f t="shared" si="29"/>
        <v>0</v>
      </c>
      <c r="H90" s="30">
        <f t="shared" si="30"/>
        <v>0</v>
      </c>
      <c r="I90" s="30">
        <f t="shared" si="31"/>
        <v>0</v>
      </c>
      <c r="J90" s="30">
        <f t="shared" si="32"/>
        <v>0</v>
      </c>
      <c r="K90" s="30">
        <f t="shared" ca="1" si="24"/>
        <v>0.36379750296008423</v>
      </c>
      <c r="L90" s="30">
        <f t="shared" ca="1" si="33"/>
        <v>0.13234862315999249</v>
      </c>
      <c r="M90" s="30">
        <f t="shared" ca="1" si="25"/>
        <v>21601.486826857643</v>
      </c>
      <c r="N90" s="30">
        <f t="shared" ca="1" si="26"/>
        <v>23392.497308499947</v>
      </c>
      <c r="O90" s="30">
        <f t="shared" ca="1" si="27"/>
        <v>1563.6819446529491</v>
      </c>
      <c r="P90" s="15">
        <f t="shared" ca="1" si="34"/>
        <v>-0.36379750296008423</v>
      </c>
      <c r="Q90" s="15"/>
      <c r="R90" s="15"/>
      <c r="S90" s="15"/>
      <c r="T90" s="15"/>
    </row>
    <row r="91" spans="1:20" x14ac:dyDescent="0.2">
      <c r="A91" s="75"/>
      <c r="B91" s="75"/>
      <c r="C91" s="15"/>
      <c r="D91" s="76">
        <f t="shared" si="22"/>
        <v>0</v>
      </c>
      <c r="E91" s="76">
        <f t="shared" si="23"/>
        <v>0</v>
      </c>
      <c r="F91" s="30">
        <f t="shared" si="28"/>
        <v>0</v>
      </c>
      <c r="G91" s="30">
        <f t="shared" si="29"/>
        <v>0</v>
      </c>
      <c r="H91" s="30">
        <f t="shared" si="30"/>
        <v>0</v>
      </c>
      <c r="I91" s="30">
        <f t="shared" si="31"/>
        <v>0</v>
      </c>
      <c r="J91" s="30">
        <f t="shared" si="32"/>
        <v>0</v>
      </c>
      <c r="K91" s="30">
        <f t="shared" ca="1" si="24"/>
        <v>0.36379750296008423</v>
      </c>
      <c r="L91" s="30">
        <f t="shared" ca="1" si="33"/>
        <v>0.13234862315999249</v>
      </c>
      <c r="M91" s="30">
        <f t="shared" ca="1" si="25"/>
        <v>21601.486826857643</v>
      </c>
      <c r="N91" s="30">
        <f t="shared" ca="1" si="26"/>
        <v>23392.497308499947</v>
      </c>
      <c r="O91" s="30">
        <f t="shared" ca="1" si="27"/>
        <v>1563.6819446529491</v>
      </c>
      <c r="P91" s="15">
        <f t="shared" ca="1" si="34"/>
        <v>-0.36379750296008423</v>
      </c>
      <c r="Q91" s="15"/>
      <c r="R91" s="15"/>
      <c r="S91" s="15"/>
      <c r="T91" s="15"/>
    </row>
    <row r="92" spans="1:20" x14ac:dyDescent="0.2">
      <c r="A92" s="75"/>
      <c r="B92" s="75"/>
      <c r="C92" s="15"/>
      <c r="D92" s="76">
        <f t="shared" si="22"/>
        <v>0</v>
      </c>
      <c r="E92" s="76">
        <f t="shared" si="23"/>
        <v>0</v>
      </c>
      <c r="F92" s="30">
        <f t="shared" si="28"/>
        <v>0</v>
      </c>
      <c r="G92" s="30">
        <f t="shared" si="29"/>
        <v>0</v>
      </c>
      <c r="H92" s="30">
        <f t="shared" si="30"/>
        <v>0</v>
      </c>
      <c r="I92" s="30">
        <f t="shared" si="31"/>
        <v>0</v>
      </c>
      <c r="J92" s="30">
        <f t="shared" si="32"/>
        <v>0</v>
      </c>
      <c r="K92" s="30">
        <f t="shared" ca="1" si="24"/>
        <v>0.36379750296008423</v>
      </c>
      <c r="L92" s="30">
        <f t="shared" ca="1" si="33"/>
        <v>0.13234862315999249</v>
      </c>
      <c r="M92" s="30">
        <f t="shared" ca="1" si="25"/>
        <v>21601.486826857643</v>
      </c>
      <c r="N92" s="30">
        <f t="shared" ca="1" si="26"/>
        <v>23392.497308499947</v>
      </c>
      <c r="O92" s="30">
        <f t="shared" ca="1" si="27"/>
        <v>1563.6819446529491</v>
      </c>
      <c r="P92" s="15">
        <f t="shared" ca="1" si="34"/>
        <v>-0.36379750296008423</v>
      </c>
      <c r="Q92" s="15"/>
      <c r="R92" s="15"/>
      <c r="S92" s="15"/>
      <c r="T92" s="15"/>
    </row>
    <row r="93" spans="1:20" x14ac:dyDescent="0.2">
      <c r="A93" s="75"/>
      <c r="B93" s="75"/>
      <c r="C93" s="15"/>
      <c r="D93" s="76">
        <f t="shared" si="22"/>
        <v>0</v>
      </c>
      <c r="E93" s="76">
        <f t="shared" si="23"/>
        <v>0</v>
      </c>
      <c r="F93" s="30">
        <f t="shared" si="28"/>
        <v>0</v>
      </c>
      <c r="G93" s="30">
        <f t="shared" si="29"/>
        <v>0</v>
      </c>
      <c r="H93" s="30">
        <f t="shared" si="30"/>
        <v>0</v>
      </c>
      <c r="I93" s="30">
        <f t="shared" si="31"/>
        <v>0</v>
      </c>
      <c r="J93" s="30">
        <f t="shared" si="32"/>
        <v>0</v>
      </c>
      <c r="K93" s="30">
        <f t="shared" ca="1" si="24"/>
        <v>0.36379750296008423</v>
      </c>
      <c r="L93" s="30">
        <f t="shared" ca="1" si="33"/>
        <v>0.13234862315999249</v>
      </c>
      <c r="M93" s="30">
        <f t="shared" ca="1" si="25"/>
        <v>21601.486826857643</v>
      </c>
      <c r="N93" s="30">
        <f t="shared" ca="1" si="26"/>
        <v>23392.497308499947</v>
      </c>
      <c r="O93" s="30">
        <f t="shared" ca="1" si="27"/>
        <v>1563.6819446529491</v>
      </c>
      <c r="P93" s="15">
        <f t="shared" ca="1" si="34"/>
        <v>-0.36379750296008423</v>
      </c>
      <c r="Q93" s="15"/>
      <c r="R93" s="15"/>
      <c r="S93" s="15"/>
      <c r="T93" s="15"/>
    </row>
    <row r="94" spans="1:20" x14ac:dyDescent="0.2">
      <c r="A94" s="75"/>
      <c r="B94" s="75"/>
      <c r="C94" s="15"/>
      <c r="D94" s="76">
        <f t="shared" si="22"/>
        <v>0</v>
      </c>
      <c r="E94" s="76">
        <f t="shared" si="23"/>
        <v>0</v>
      </c>
      <c r="F94" s="30">
        <f t="shared" si="28"/>
        <v>0</v>
      </c>
      <c r="G94" s="30">
        <f t="shared" si="29"/>
        <v>0</v>
      </c>
      <c r="H94" s="30">
        <f t="shared" si="30"/>
        <v>0</v>
      </c>
      <c r="I94" s="30">
        <f t="shared" si="31"/>
        <v>0</v>
      </c>
      <c r="J94" s="30">
        <f t="shared" si="32"/>
        <v>0</v>
      </c>
      <c r="K94" s="30">
        <f t="shared" ca="1" si="24"/>
        <v>0.36379750296008423</v>
      </c>
      <c r="L94" s="30">
        <f t="shared" ca="1" si="33"/>
        <v>0.13234862315999249</v>
      </c>
      <c r="M94" s="30">
        <f t="shared" ca="1" si="25"/>
        <v>21601.486826857643</v>
      </c>
      <c r="N94" s="30">
        <f t="shared" ca="1" si="26"/>
        <v>23392.497308499947</v>
      </c>
      <c r="O94" s="30">
        <f t="shared" ca="1" si="27"/>
        <v>1563.6819446529491</v>
      </c>
      <c r="P94" s="15">
        <f t="shared" ca="1" si="34"/>
        <v>-0.36379750296008423</v>
      </c>
      <c r="Q94" s="15"/>
      <c r="R94" s="15"/>
      <c r="S94" s="15"/>
      <c r="T94" s="15"/>
    </row>
    <row r="95" spans="1:20" x14ac:dyDescent="0.2">
      <c r="A95" s="75"/>
      <c r="B95" s="75"/>
      <c r="C95" s="15"/>
      <c r="D95" s="76">
        <f t="shared" si="22"/>
        <v>0</v>
      </c>
      <c r="E95" s="76">
        <f t="shared" si="23"/>
        <v>0</v>
      </c>
      <c r="F95" s="30">
        <f t="shared" si="28"/>
        <v>0</v>
      </c>
      <c r="G95" s="30">
        <f t="shared" si="29"/>
        <v>0</v>
      </c>
      <c r="H95" s="30">
        <f t="shared" si="30"/>
        <v>0</v>
      </c>
      <c r="I95" s="30">
        <f t="shared" si="31"/>
        <v>0</v>
      </c>
      <c r="J95" s="30">
        <f t="shared" si="32"/>
        <v>0</v>
      </c>
      <c r="K95" s="30">
        <f t="shared" ca="1" si="24"/>
        <v>0.36379750296008423</v>
      </c>
      <c r="L95" s="30">
        <f t="shared" ca="1" si="33"/>
        <v>0.13234862315999249</v>
      </c>
      <c r="M95" s="30">
        <f t="shared" ca="1" si="25"/>
        <v>21601.486826857643</v>
      </c>
      <c r="N95" s="30">
        <f t="shared" ca="1" si="26"/>
        <v>23392.497308499947</v>
      </c>
      <c r="O95" s="30">
        <f t="shared" ca="1" si="27"/>
        <v>1563.6819446529491</v>
      </c>
      <c r="P95" s="15">
        <f t="shared" ca="1" si="34"/>
        <v>-0.36379750296008423</v>
      </c>
      <c r="Q95" s="15"/>
      <c r="R95" s="15"/>
      <c r="S95" s="15"/>
      <c r="T95" s="15"/>
    </row>
    <row r="96" spans="1:20" x14ac:dyDescent="0.2">
      <c r="A96" s="75"/>
      <c r="B96" s="75"/>
      <c r="C96" s="15"/>
      <c r="D96" s="76">
        <f t="shared" si="22"/>
        <v>0</v>
      </c>
      <c r="E96" s="76">
        <f t="shared" si="23"/>
        <v>0</v>
      </c>
      <c r="F96" s="30">
        <f t="shared" si="28"/>
        <v>0</v>
      </c>
      <c r="G96" s="30">
        <f t="shared" si="29"/>
        <v>0</v>
      </c>
      <c r="H96" s="30">
        <f t="shared" si="30"/>
        <v>0</v>
      </c>
      <c r="I96" s="30">
        <f t="shared" si="31"/>
        <v>0</v>
      </c>
      <c r="J96" s="30">
        <f t="shared" si="32"/>
        <v>0</v>
      </c>
      <c r="K96" s="30">
        <f t="shared" ca="1" si="24"/>
        <v>0.36379750296008423</v>
      </c>
      <c r="L96" s="30">
        <f t="shared" ca="1" si="33"/>
        <v>0.13234862315999249</v>
      </c>
      <c r="M96" s="30">
        <f t="shared" ca="1" si="25"/>
        <v>21601.486826857643</v>
      </c>
      <c r="N96" s="30">
        <f t="shared" ca="1" si="26"/>
        <v>23392.497308499947</v>
      </c>
      <c r="O96" s="30">
        <f t="shared" ca="1" si="27"/>
        <v>1563.6819446529491</v>
      </c>
      <c r="P96" s="15">
        <f t="shared" ca="1" si="34"/>
        <v>-0.36379750296008423</v>
      </c>
      <c r="Q96" s="15"/>
      <c r="R96" s="15"/>
      <c r="S96" s="15"/>
      <c r="T96" s="15"/>
    </row>
    <row r="97" spans="1:20" x14ac:dyDescent="0.2">
      <c r="A97" s="75"/>
      <c r="B97" s="75"/>
      <c r="C97" s="15"/>
      <c r="D97" s="76">
        <f t="shared" si="22"/>
        <v>0</v>
      </c>
      <c r="E97" s="76">
        <f t="shared" si="23"/>
        <v>0</v>
      </c>
      <c r="F97" s="30">
        <f t="shared" si="28"/>
        <v>0</v>
      </c>
      <c r="G97" s="30">
        <f t="shared" si="29"/>
        <v>0</v>
      </c>
      <c r="H97" s="30">
        <f t="shared" si="30"/>
        <v>0</v>
      </c>
      <c r="I97" s="30">
        <f t="shared" si="31"/>
        <v>0</v>
      </c>
      <c r="J97" s="30">
        <f t="shared" si="32"/>
        <v>0</v>
      </c>
      <c r="K97" s="30">
        <f t="shared" ca="1" si="24"/>
        <v>0.36379750296008423</v>
      </c>
      <c r="L97" s="30">
        <f t="shared" ca="1" si="33"/>
        <v>0.13234862315999249</v>
      </c>
      <c r="M97" s="30">
        <f t="shared" ca="1" si="25"/>
        <v>21601.486826857643</v>
      </c>
      <c r="N97" s="30">
        <f t="shared" ca="1" si="26"/>
        <v>23392.497308499947</v>
      </c>
      <c r="O97" s="30">
        <f t="shared" ca="1" si="27"/>
        <v>1563.6819446529491</v>
      </c>
      <c r="P97" s="15">
        <f t="shared" ca="1" si="34"/>
        <v>-0.36379750296008423</v>
      </c>
      <c r="Q97" s="15"/>
      <c r="R97" s="15"/>
      <c r="S97" s="15"/>
      <c r="T97" s="15"/>
    </row>
    <row r="98" spans="1:20" x14ac:dyDescent="0.2">
      <c r="A98" s="75"/>
      <c r="B98" s="75"/>
      <c r="C98" s="15"/>
      <c r="D98" s="76">
        <f t="shared" si="22"/>
        <v>0</v>
      </c>
      <c r="E98" s="76">
        <f t="shared" si="23"/>
        <v>0</v>
      </c>
      <c r="F98" s="30">
        <f t="shared" si="28"/>
        <v>0</v>
      </c>
      <c r="G98" s="30">
        <f t="shared" si="29"/>
        <v>0</v>
      </c>
      <c r="H98" s="30">
        <f t="shared" si="30"/>
        <v>0</v>
      </c>
      <c r="I98" s="30">
        <f t="shared" si="31"/>
        <v>0</v>
      </c>
      <c r="J98" s="30">
        <f t="shared" si="32"/>
        <v>0</v>
      </c>
      <c r="K98" s="30">
        <f t="shared" ca="1" si="24"/>
        <v>0.36379750296008423</v>
      </c>
      <c r="L98" s="30">
        <f t="shared" ca="1" si="33"/>
        <v>0.13234862315999249</v>
      </c>
      <c r="M98" s="30">
        <f t="shared" ca="1" si="25"/>
        <v>21601.486826857643</v>
      </c>
      <c r="N98" s="30">
        <f t="shared" ca="1" si="26"/>
        <v>23392.497308499947</v>
      </c>
      <c r="O98" s="30">
        <f t="shared" ca="1" si="27"/>
        <v>1563.6819446529491</v>
      </c>
      <c r="P98" s="15">
        <f t="shared" ca="1" si="34"/>
        <v>-0.36379750296008423</v>
      </c>
      <c r="Q98" s="15"/>
      <c r="R98" s="15"/>
      <c r="S98" s="15"/>
      <c r="T98" s="15"/>
    </row>
    <row r="99" spans="1:20" x14ac:dyDescent="0.2">
      <c r="A99" s="75"/>
      <c r="B99" s="75"/>
      <c r="C99" s="15"/>
      <c r="D99" s="76">
        <f t="shared" si="22"/>
        <v>0</v>
      </c>
      <c r="E99" s="76">
        <f t="shared" si="23"/>
        <v>0</v>
      </c>
      <c r="F99" s="30">
        <f t="shared" si="28"/>
        <v>0</v>
      </c>
      <c r="G99" s="30">
        <f t="shared" si="29"/>
        <v>0</v>
      </c>
      <c r="H99" s="30">
        <f t="shared" si="30"/>
        <v>0</v>
      </c>
      <c r="I99" s="30">
        <f t="shared" si="31"/>
        <v>0</v>
      </c>
      <c r="J99" s="30">
        <f t="shared" si="32"/>
        <v>0</v>
      </c>
      <c r="K99" s="30">
        <f t="shared" ca="1" si="24"/>
        <v>0.36379750296008423</v>
      </c>
      <c r="L99" s="30">
        <f t="shared" ca="1" si="33"/>
        <v>0.13234862315999249</v>
      </c>
      <c r="M99" s="30">
        <f t="shared" ca="1" si="25"/>
        <v>21601.486826857643</v>
      </c>
      <c r="N99" s="30">
        <f t="shared" ca="1" si="26"/>
        <v>23392.497308499947</v>
      </c>
      <c r="O99" s="30">
        <f t="shared" ca="1" si="27"/>
        <v>1563.6819446529491</v>
      </c>
      <c r="P99" s="15">
        <f t="shared" ca="1" si="34"/>
        <v>-0.36379750296008423</v>
      </c>
      <c r="Q99" s="15"/>
      <c r="R99" s="15"/>
      <c r="S99" s="15"/>
      <c r="T99" s="15"/>
    </row>
    <row r="100" spans="1:20" x14ac:dyDescent="0.2">
      <c r="A100" s="75"/>
      <c r="B100" s="75"/>
      <c r="C100" s="15"/>
      <c r="D100" s="76">
        <f t="shared" si="22"/>
        <v>0</v>
      </c>
      <c r="E100" s="76">
        <f t="shared" si="23"/>
        <v>0</v>
      </c>
      <c r="F100" s="30">
        <f t="shared" si="28"/>
        <v>0</v>
      </c>
      <c r="G100" s="30">
        <f t="shared" si="29"/>
        <v>0</v>
      </c>
      <c r="H100" s="30">
        <f t="shared" si="30"/>
        <v>0</v>
      </c>
      <c r="I100" s="30">
        <f t="shared" si="31"/>
        <v>0</v>
      </c>
      <c r="J100" s="30">
        <f t="shared" si="32"/>
        <v>0</v>
      </c>
      <c r="K100" s="30">
        <f t="shared" ca="1" si="24"/>
        <v>0.36379750296008423</v>
      </c>
      <c r="L100" s="30">
        <f t="shared" ca="1" si="33"/>
        <v>0.13234862315999249</v>
      </c>
      <c r="M100" s="30">
        <f t="shared" ca="1" si="25"/>
        <v>21601.486826857643</v>
      </c>
      <c r="N100" s="30">
        <f t="shared" ca="1" si="26"/>
        <v>23392.497308499947</v>
      </c>
      <c r="O100" s="30">
        <f t="shared" ca="1" si="27"/>
        <v>1563.6819446529491</v>
      </c>
      <c r="P100" s="15">
        <f t="shared" ca="1" si="34"/>
        <v>-0.36379750296008423</v>
      </c>
      <c r="Q100" s="15"/>
      <c r="R100" s="15"/>
      <c r="S100" s="15"/>
      <c r="T100" s="15"/>
    </row>
    <row r="101" spans="1:20" x14ac:dyDescent="0.2">
      <c r="A101" s="75"/>
      <c r="B101" s="75"/>
      <c r="C101" s="15"/>
      <c r="D101" s="76">
        <f t="shared" si="22"/>
        <v>0</v>
      </c>
      <c r="E101" s="76">
        <f t="shared" si="23"/>
        <v>0</v>
      </c>
      <c r="F101" s="30">
        <f t="shared" si="28"/>
        <v>0</v>
      </c>
      <c r="G101" s="30">
        <f t="shared" si="29"/>
        <v>0</v>
      </c>
      <c r="H101" s="30">
        <f t="shared" si="30"/>
        <v>0</v>
      </c>
      <c r="I101" s="30">
        <f t="shared" si="31"/>
        <v>0</v>
      </c>
      <c r="J101" s="30">
        <f t="shared" si="32"/>
        <v>0</v>
      </c>
      <c r="K101" s="30">
        <f t="shared" ca="1" si="24"/>
        <v>0.36379750296008423</v>
      </c>
      <c r="L101" s="30">
        <f t="shared" ca="1" si="33"/>
        <v>0.13234862315999249</v>
      </c>
      <c r="M101" s="30">
        <f t="shared" ca="1" si="25"/>
        <v>21601.486826857643</v>
      </c>
      <c r="N101" s="30">
        <f t="shared" ca="1" si="26"/>
        <v>23392.497308499947</v>
      </c>
      <c r="O101" s="30">
        <f t="shared" ca="1" si="27"/>
        <v>1563.6819446529491</v>
      </c>
      <c r="P101" s="15">
        <f t="shared" ca="1" si="34"/>
        <v>-0.36379750296008423</v>
      </c>
      <c r="Q101" s="15"/>
      <c r="R101" s="15"/>
      <c r="S101" s="15"/>
      <c r="T101" s="15"/>
    </row>
    <row r="102" spans="1:20" x14ac:dyDescent="0.2">
      <c r="A102" s="75"/>
      <c r="B102" s="75"/>
      <c r="C102" s="15"/>
      <c r="D102" s="76">
        <f t="shared" si="22"/>
        <v>0</v>
      </c>
      <c r="E102" s="76">
        <f t="shared" si="23"/>
        <v>0</v>
      </c>
      <c r="F102" s="30">
        <f t="shared" si="28"/>
        <v>0</v>
      </c>
      <c r="G102" s="30">
        <f t="shared" si="29"/>
        <v>0</v>
      </c>
      <c r="H102" s="30">
        <f t="shared" si="30"/>
        <v>0</v>
      </c>
      <c r="I102" s="30">
        <f t="shared" si="31"/>
        <v>0</v>
      </c>
      <c r="J102" s="30">
        <f t="shared" si="32"/>
        <v>0</v>
      </c>
      <c r="K102" s="30">
        <f t="shared" ca="1" si="24"/>
        <v>0.36379750296008423</v>
      </c>
      <c r="L102" s="30">
        <f t="shared" ca="1" si="33"/>
        <v>0.13234862315999249</v>
      </c>
      <c r="M102" s="30">
        <f t="shared" ca="1" si="25"/>
        <v>21601.486826857643</v>
      </c>
      <c r="N102" s="30">
        <f t="shared" ca="1" si="26"/>
        <v>23392.497308499947</v>
      </c>
      <c r="O102" s="30">
        <f t="shared" ca="1" si="27"/>
        <v>1563.6819446529491</v>
      </c>
      <c r="P102" s="15">
        <f t="shared" ca="1" si="34"/>
        <v>-0.36379750296008423</v>
      </c>
      <c r="Q102" s="15"/>
      <c r="R102" s="15"/>
      <c r="S102" s="15"/>
      <c r="T102" s="15"/>
    </row>
    <row r="103" spans="1:20" x14ac:dyDescent="0.2">
      <c r="A103" s="75"/>
      <c r="B103" s="75"/>
      <c r="C103" s="15"/>
      <c r="D103" s="76">
        <f t="shared" si="22"/>
        <v>0</v>
      </c>
      <c r="E103" s="76">
        <f t="shared" si="23"/>
        <v>0</v>
      </c>
      <c r="F103" s="30">
        <f t="shared" si="28"/>
        <v>0</v>
      </c>
      <c r="G103" s="30">
        <f t="shared" si="29"/>
        <v>0</v>
      </c>
      <c r="H103" s="30">
        <f t="shared" si="30"/>
        <v>0</v>
      </c>
      <c r="I103" s="30">
        <f t="shared" si="31"/>
        <v>0</v>
      </c>
      <c r="J103" s="30">
        <f t="shared" si="32"/>
        <v>0</v>
      </c>
      <c r="K103" s="30">
        <f t="shared" ca="1" si="24"/>
        <v>0.36379750296008423</v>
      </c>
      <c r="L103" s="30">
        <f t="shared" ca="1" si="33"/>
        <v>0.13234862315999249</v>
      </c>
      <c r="M103" s="30">
        <f t="shared" ca="1" si="25"/>
        <v>21601.486826857643</v>
      </c>
      <c r="N103" s="30">
        <f t="shared" ca="1" si="26"/>
        <v>23392.497308499947</v>
      </c>
      <c r="O103" s="30">
        <f t="shared" ca="1" si="27"/>
        <v>1563.6819446529491</v>
      </c>
      <c r="P103" s="15">
        <f t="shared" ca="1" si="34"/>
        <v>-0.36379750296008423</v>
      </c>
      <c r="Q103" s="15"/>
      <c r="R103" s="15"/>
      <c r="S103" s="15"/>
      <c r="T103" s="15"/>
    </row>
    <row r="104" spans="1:20" x14ac:dyDescent="0.2">
      <c r="A104" s="75"/>
      <c r="B104" s="75"/>
      <c r="C104" s="15"/>
      <c r="D104" s="76">
        <f t="shared" si="22"/>
        <v>0</v>
      </c>
      <c r="E104" s="76">
        <f t="shared" si="23"/>
        <v>0</v>
      </c>
      <c r="F104" s="30">
        <f t="shared" si="28"/>
        <v>0</v>
      </c>
      <c r="G104" s="30">
        <f t="shared" si="29"/>
        <v>0</v>
      </c>
      <c r="H104" s="30">
        <f t="shared" si="30"/>
        <v>0</v>
      </c>
      <c r="I104" s="30">
        <f t="shared" si="31"/>
        <v>0</v>
      </c>
      <c r="J104" s="30">
        <f t="shared" si="32"/>
        <v>0</v>
      </c>
      <c r="K104" s="30">
        <f t="shared" ca="1" si="24"/>
        <v>0.36379750296008423</v>
      </c>
      <c r="L104" s="30">
        <f t="shared" ca="1" si="33"/>
        <v>0.13234862315999249</v>
      </c>
      <c r="M104" s="30">
        <f t="shared" ca="1" si="25"/>
        <v>21601.486826857643</v>
      </c>
      <c r="N104" s="30">
        <f t="shared" ca="1" si="26"/>
        <v>23392.497308499947</v>
      </c>
      <c r="O104" s="30">
        <f t="shared" ca="1" si="27"/>
        <v>1563.6819446529491</v>
      </c>
      <c r="P104" s="15">
        <f t="shared" ca="1" si="34"/>
        <v>-0.36379750296008423</v>
      </c>
      <c r="Q104" s="15"/>
      <c r="R104" s="15"/>
      <c r="S104" s="15"/>
      <c r="T104" s="15"/>
    </row>
    <row r="105" spans="1:20" x14ac:dyDescent="0.2">
      <c r="A105" s="75"/>
      <c r="B105" s="75"/>
      <c r="C105" s="15"/>
      <c r="D105" s="76">
        <f t="shared" si="22"/>
        <v>0</v>
      </c>
      <c r="E105" s="76">
        <f t="shared" si="23"/>
        <v>0</v>
      </c>
      <c r="F105" s="30">
        <f t="shared" si="28"/>
        <v>0</v>
      </c>
      <c r="G105" s="30">
        <f t="shared" si="29"/>
        <v>0</v>
      </c>
      <c r="H105" s="30">
        <f t="shared" si="30"/>
        <v>0</v>
      </c>
      <c r="I105" s="30">
        <f t="shared" si="31"/>
        <v>0</v>
      </c>
      <c r="J105" s="30">
        <f t="shared" si="32"/>
        <v>0</v>
      </c>
      <c r="K105" s="30">
        <f t="shared" ca="1" si="24"/>
        <v>0.36379750296008423</v>
      </c>
      <c r="L105" s="30">
        <f t="shared" ca="1" si="33"/>
        <v>0.13234862315999249</v>
      </c>
      <c r="M105" s="30">
        <f t="shared" ca="1" si="25"/>
        <v>21601.486826857643</v>
      </c>
      <c r="N105" s="30">
        <f t="shared" ca="1" si="26"/>
        <v>23392.497308499947</v>
      </c>
      <c r="O105" s="30">
        <f t="shared" ca="1" si="27"/>
        <v>1563.6819446529491</v>
      </c>
      <c r="P105" s="15">
        <f t="shared" ca="1" si="34"/>
        <v>-0.36379750296008423</v>
      </c>
      <c r="Q105" s="15"/>
      <c r="R105" s="15"/>
      <c r="S105" s="15"/>
      <c r="T105" s="15"/>
    </row>
    <row r="106" spans="1:20" x14ac:dyDescent="0.2">
      <c r="A106" s="75"/>
      <c r="B106" s="75"/>
      <c r="C106" s="15"/>
      <c r="D106" s="76">
        <f t="shared" si="22"/>
        <v>0</v>
      </c>
      <c r="E106" s="76">
        <f t="shared" si="23"/>
        <v>0</v>
      </c>
      <c r="F106" s="30">
        <f t="shared" si="28"/>
        <v>0</v>
      </c>
      <c r="G106" s="30">
        <f t="shared" si="29"/>
        <v>0</v>
      </c>
      <c r="H106" s="30">
        <f t="shared" si="30"/>
        <v>0</v>
      </c>
      <c r="I106" s="30">
        <f t="shared" si="31"/>
        <v>0</v>
      </c>
      <c r="J106" s="30">
        <f t="shared" si="32"/>
        <v>0</v>
      </c>
      <c r="K106" s="30">
        <f t="shared" ca="1" si="24"/>
        <v>0.36379750296008423</v>
      </c>
      <c r="L106" s="30">
        <f t="shared" ca="1" si="33"/>
        <v>0.13234862315999249</v>
      </c>
      <c r="M106" s="30">
        <f t="shared" ca="1" si="25"/>
        <v>21601.486826857643</v>
      </c>
      <c r="N106" s="30">
        <f t="shared" ca="1" si="26"/>
        <v>23392.497308499947</v>
      </c>
      <c r="O106" s="30">
        <f t="shared" ca="1" si="27"/>
        <v>1563.6819446529491</v>
      </c>
      <c r="P106" s="15">
        <f t="shared" ca="1" si="34"/>
        <v>-0.36379750296008423</v>
      </c>
      <c r="Q106" s="15"/>
      <c r="R106" s="15"/>
      <c r="S106" s="15"/>
      <c r="T106" s="15"/>
    </row>
    <row r="107" spans="1:20" x14ac:dyDescent="0.2">
      <c r="A107" s="75"/>
      <c r="B107" s="75"/>
      <c r="C107" s="15"/>
      <c r="D107" s="76">
        <f t="shared" si="22"/>
        <v>0</v>
      </c>
      <c r="E107" s="76">
        <f t="shared" si="23"/>
        <v>0</v>
      </c>
      <c r="F107" s="30">
        <f t="shared" si="28"/>
        <v>0</v>
      </c>
      <c r="G107" s="30">
        <f t="shared" si="29"/>
        <v>0</v>
      </c>
      <c r="H107" s="30">
        <f t="shared" si="30"/>
        <v>0</v>
      </c>
      <c r="I107" s="30">
        <f t="shared" si="31"/>
        <v>0</v>
      </c>
      <c r="J107" s="30">
        <f t="shared" si="32"/>
        <v>0</v>
      </c>
      <c r="K107" s="30">
        <f t="shared" ca="1" si="24"/>
        <v>0.36379750296008423</v>
      </c>
      <c r="L107" s="30">
        <f t="shared" ca="1" si="33"/>
        <v>0.13234862315999249</v>
      </c>
      <c r="M107" s="30">
        <f t="shared" ca="1" si="25"/>
        <v>21601.486826857643</v>
      </c>
      <c r="N107" s="30">
        <f t="shared" ca="1" si="26"/>
        <v>23392.497308499947</v>
      </c>
      <c r="O107" s="30">
        <f t="shared" ca="1" si="27"/>
        <v>1563.6819446529491</v>
      </c>
      <c r="P107" s="15">
        <f t="shared" ca="1" si="34"/>
        <v>-0.36379750296008423</v>
      </c>
      <c r="Q107" s="15"/>
      <c r="R107" s="15"/>
      <c r="S107" s="15"/>
      <c r="T107" s="15"/>
    </row>
    <row r="108" spans="1:20" x14ac:dyDescent="0.2">
      <c r="A108" s="75"/>
      <c r="B108" s="75"/>
      <c r="C108" s="15"/>
      <c r="D108" s="76">
        <f t="shared" si="22"/>
        <v>0</v>
      </c>
      <c r="E108" s="76">
        <f t="shared" si="23"/>
        <v>0</v>
      </c>
      <c r="F108" s="30">
        <f t="shared" si="28"/>
        <v>0</v>
      </c>
      <c r="G108" s="30">
        <f t="shared" si="29"/>
        <v>0</v>
      </c>
      <c r="H108" s="30">
        <f t="shared" si="30"/>
        <v>0</v>
      </c>
      <c r="I108" s="30">
        <f t="shared" si="31"/>
        <v>0</v>
      </c>
      <c r="J108" s="30">
        <f t="shared" si="32"/>
        <v>0</v>
      </c>
      <c r="K108" s="30">
        <f t="shared" ca="1" si="24"/>
        <v>0.36379750296008423</v>
      </c>
      <c r="L108" s="30">
        <f t="shared" ca="1" si="33"/>
        <v>0.13234862315999249</v>
      </c>
      <c r="M108" s="30">
        <f t="shared" ca="1" si="25"/>
        <v>21601.486826857643</v>
      </c>
      <c r="N108" s="30">
        <f t="shared" ca="1" si="26"/>
        <v>23392.497308499947</v>
      </c>
      <c r="O108" s="30">
        <f t="shared" ca="1" si="27"/>
        <v>1563.6819446529491</v>
      </c>
      <c r="P108" s="15">
        <f t="shared" ca="1" si="34"/>
        <v>-0.36379750296008423</v>
      </c>
      <c r="Q108" s="15"/>
      <c r="R108" s="15"/>
      <c r="S108" s="15"/>
      <c r="T108" s="15"/>
    </row>
    <row r="109" spans="1:20" x14ac:dyDescent="0.2">
      <c r="A109" s="75"/>
      <c r="B109" s="75"/>
      <c r="C109" s="15"/>
      <c r="D109" s="76">
        <f t="shared" si="22"/>
        <v>0</v>
      </c>
      <c r="E109" s="76">
        <f t="shared" si="23"/>
        <v>0</v>
      </c>
      <c r="F109" s="30">
        <f t="shared" si="28"/>
        <v>0</v>
      </c>
      <c r="G109" s="30">
        <f t="shared" si="29"/>
        <v>0</v>
      </c>
      <c r="H109" s="30">
        <f t="shared" si="30"/>
        <v>0</v>
      </c>
      <c r="I109" s="30">
        <f t="shared" si="31"/>
        <v>0</v>
      </c>
      <c r="J109" s="30">
        <f t="shared" si="32"/>
        <v>0</v>
      </c>
      <c r="K109" s="30">
        <f t="shared" ca="1" si="24"/>
        <v>0.36379750296008423</v>
      </c>
      <c r="L109" s="30">
        <f t="shared" ca="1" si="33"/>
        <v>0.13234862315999249</v>
      </c>
      <c r="M109" s="30">
        <f t="shared" ca="1" si="25"/>
        <v>21601.486826857643</v>
      </c>
      <c r="N109" s="30">
        <f t="shared" ca="1" si="26"/>
        <v>23392.497308499947</v>
      </c>
      <c r="O109" s="30">
        <f t="shared" ca="1" si="27"/>
        <v>1563.6819446529491</v>
      </c>
      <c r="P109" s="15">
        <f t="shared" ca="1" si="34"/>
        <v>-0.36379750296008423</v>
      </c>
      <c r="Q109" s="15"/>
      <c r="R109" s="15"/>
      <c r="S109" s="15"/>
      <c r="T109" s="15"/>
    </row>
    <row r="110" spans="1:20" x14ac:dyDescent="0.2">
      <c r="A110" s="75"/>
      <c r="B110" s="75"/>
      <c r="C110" s="15"/>
      <c r="D110" s="76">
        <f t="shared" si="22"/>
        <v>0</v>
      </c>
      <c r="E110" s="76">
        <f t="shared" si="23"/>
        <v>0</v>
      </c>
      <c r="F110" s="30">
        <f t="shared" si="28"/>
        <v>0</v>
      </c>
      <c r="G110" s="30">
        <f t="shared" si="29"/>
        <v>0</v>
      </c>
      <c r="H110" s="30">
        <f t="shared" si="30"/>
        <v>0</v>
      </c>
      <c r="I110" s="30">
        <f t="shared" si="31"/>
        <v>0</v>
      </c>
      <c r="J110" s="30">
        <f t="shared" si="32"/>
        <v>0</v>
      </c>
      <c r="K110" s="30">
        <f t="shared" ca="1" si="24"/>
        <v>0.36379750296008423</v>
      </c>
      <c r="L110" s="30">
        <f t="shared" ca="1" si="33"/>
        <v>0.13234862315999249</v>
      </c>
      <c r="M110" s="30">
        <f t="shared" ca="1" si="25"/>
        <v>21601.486826857643</v>
      </c>
      <c r="N110" s="30">
        <f t="shared" ca="1" si="26"/>
        <v>23392.497308499947</v>
      </c>
      <c r="O110" s="30">
        <f t="shared" ca="1" si="27"/>
        <v>1563.6819446529491</v>
      </c>
      <c r="P110" s="15">
        <f t="shared" ca="1" si="34"/>
        <v>-0.36379750296008423</v>
      </c>
      <c r="Q110" s="15"/>
      <c r="R110" s="15"/>
      <c r="S110" s="15"/>
      <c r="T110" s="15"/>
    </row>
    <row r="111" spans="1:20" x14ac:dyDescent="0.2">
      <c r="A111" s="75"/>
      <c r="B111" s="75"/>
      <c r="C111" s="15"/>
      <c r="D111" s="76">
        <f t="shared" si="22"/>
        <v>0</v>
      </c>
      <c r="E111" s="76">
        <f t="shared" si="23"/>
        <v>0</v>
      </c>
      <c r="F111" s="30">
        <f t="shared" si="28"/>
        <v>0</v>
      </c>
      <c r="G111" s="30">
        <f t="shared" si="29"/>
        <v>0</v>
      </c>
      <c r="H111" s="30">
        <f t="shared" si="30"/>
        <v>0</v>
      </c>
      <c r="I111" s="30">
        <f t="shared" si="31"/>
        <v>0</v>
      </c>
      <c r="J111" s="30">
        <f t="shared" si="32"/>
        <v>0</v>
      </c>
      <c r="K111" s="30">
        <f t="shared" ca="1" si="24"/>
        <v>0.36379750296008423</v>
      </c>
      <c r="L111" s="30">
        <f t="shared" ca="1" si="33"/>
        <v>0.13234862315999249</v>
      </c>
      <c r="M111" s="30">
        <f t="shared" ca="1" si="25"/>
        <v>21601.486826857643</v>
      </c>
      <c r="N111" s="30">
        <f t="shared" ca="1" si="26"/>
        <v>23392.497308499947</v>
      </c>
      <c r="O111" s="30">
        <f t="shared" ca="1" si="27"/>
        <v>1563.6819446529491</v>
      </c>
      <c r="P111" s="15">
        <f t="shared" ca="1" si="34"/>
        <v>-0.36379750296008423</v>
      </c>
      <c r="Q111" s="15"/>
      <c r="R111" s="15"/>
      <c r="S111" s="15"/>
      <c r="T111" s="15"/>
    </row>
    <row r="112" spans="1:20" x14ac:dyDescent="0.2">
      <c r="A112" s="75"/>
      <c r="B112" s="75"/>
      <c r="C112" s="15"/>
      <c r="D112" s="76">
        <f t="shared" si="22"/>
        <v>0</v>
      </c>
      <c r="E112" s="76">
        <f t="shared" si="23"/>
        <v>0</v>
      </c>
      <c r="F112" s="30">
        <f t="shared" si="28"/>
        <v>0</v>
      </c>
      <c r="G112" s="30">
        <f t="shared" si="29"/>
        <v>0</v>
      </c>
      <c r="H112" s="30">
        <f t="shared" si="30"/>
        <v>0</v>
      </c>
      <c r="I112" s="30">
        <f t="shared" si="31"/>
        <v>0</v>
      </c>
      <c r="J112" s="30">
        <f t="shared" si="32"/>
        <v>0</v>
      </c>
      <c r="K112" s="30">
        <f t="shared" ca="1" si="24"/>
        <v>0.36379750296008423</v>
      </c>
      <c r="L112" s="30">
        <f t="shared" ca="1" si="33"/>
        <v>0.13234862315999249</v>
      </c>
      <c r="M112" s="30">
        <f t="shared" ca="1" si="25"/>
        <v>21601.486826857643</v>
      </c>
      <c r="N112" s="30">
        <f t="shared" ca="1" si="26"/>
        <v>23392.497308499947</v>
      </c>
      <c r="O112" s="30">
        <f t="shared" ca="1" si="27"/>
        <v>1563.6819446529491</v>
      </c>
      <c r="P112" s="15">
        <f t="shared" ca="1" si="34"/>
        <v>-0.36379750296008423</v>
      </c>
      <c r="Q112" s="15"/>
      <c r="R112" s="15"/>
      <c r="S112" s="15"/>
      <c r="T112" s="15"/>
    </row>
    <row r="113" spans="1:20" x14ac:dyDescent="0.2">
      <c r="A113" s="75"/>
      <c r="B113" s="75"/>
      <c r="C113" s="15"/>
      <c r="D113" s="76">
        <f t="shared" si="22"/>
        <v>0</v>
      </c>
      <c r="E113" s="76">
        <f t="shared" si="23"/>
        <v>0</v>
      </c>
      <c r="F113" s="30">
        <f t="shared" si="28"/>
        <v>0</v>
      </c>
      <c r="G113" s="30">
        <f t="shared" si="29"/>
        <v>0</v>
      </c>
      <c r="H113" s="30">
        <f t="shared" si="30"/>
        <v>0</v>
      </c>
      <c r="I113" s="30">
        <f t="shared" si="31"/>
        <v>0</v>
      </c>
      <c r="J113" s="30">
        <f t="shared" si="32"/>
        <v>0</v>
      </c>
      <c r="K113" s="30">
        <f t="shared" ca="1" si="24"/>
        <v>0.36379750296008423</v>
      </c>
      <c r="L113" s="30">
        <f t="shared" ca="1" si="33"/>
        <v>0.13234862315999249</v>
      </c>
      <c r="M113" s="30">
        <f t="shared" ca="1" si="25"/>
        <v>21601.486826857643</v>
      </c>
      <c r="N113" s="30">
        <f t="shared" ca="1" si="26"/>
        <v>23392.497308499947</v>
      </c>
      <c r="O113" s="30">
        <f t="shared" ca="1" si="27"/>
        <v>1563.6819446529491</v>
      </c>
      <c r="P113" s="15">
        <f t="shared" ca="1" si="34"/>
        <v>-0.36379750296008423</v>
      </c>
      <c r="Q113" s="15"/>
      <c r="R113" s="15"/>
      <c r="S113" s="15"/>
      <c r="T113" s="15"/>
    </row>
    <row r="114" spans="1:20" x14ac:dyDescent="0.2">
      <c r="A114" s="75"/>
      <c r="B114" s="75"/>
      <c r="C114" s="15"/>
      <c r="D114" s="76">
        <f t="shared" si="22"/>
        <v>0</v>
      </c>
      <c r="E114" s="76">
        <f t="shared" si="23"/>
        <v>0</v>
      </c>
      <c r="F114" s="30">
        <f t="shared" si="28"/>
        <v>0</v>
      </c>
      <c r="G114" s="30">
        <f t="shared" si="29"/>
        <v>0</v>
      </c>
      <c r="H114" s="30">
        <f t="shared" si="30"/>
        <v>0</v>
      </c>
      <c r="I114" s="30">
        <f t="shared" si="31"/>
        <v>0</v>
      </c>
      <c r="J114" s="30">
        <f t="shared" si="32"/>
        <v>0</v>
      </c>
      <c r="K114" s="30">
        <f t="shared" ca="1" si="24"/>
        <v>0.36379750296008423</v>
      </c>
      <c r="L114" s="30">
        <f t="shared" ca="1" si="33"/>
        <v>0.13234862315999249</v>
      </c>
      <c r="M114" s="30">
        <f t="shared" ca="1" si="25"/>
        <v>21601.486826857643</v>
      </c>
      <c r="N114" s="30">
        <f t="shared" ca="1" si="26"/>
        <v>23392.497308499947</v>
      </c>
      <c r="O114" s="30">
        <f t="shared" ca="1" si="27"/>
        <v>1563.6819446529491</v>
      </c>
      <c r="P114" s="15">
        <f t="shared" ca="1" si="34"/>
        <v>-0.36379750296008423</v>
      </c>
      <c r="Q114" s="15"/>
      <c r="R114" s="15"/>
      <c r="S114" s="15"/>
      <c r="T114" s="15"/>
    </row>
    <row r="115" spans="1:20" x14ac:dyDescent="0.2">
      <c r="A115" s="75"/>
      <c r="B115" s="75"/>
      <c r="C115" s="15"/>
      <c r="D115" s="76">
        <f t="shared" si="22"/>
        <v>0</v>
      </c>
      <c r="E115" s="76">
        <f t="shared" si="23"/>
        <v>0</v>
      </c>
      <c r="F115" s="30">
        <f t="shared" si="28"/>
        <v>0</v>
      </c>
      <c r="G115" s="30">
        <f t="shared" si="29"/>
        <v>0</v>
      </c>
      <c r="H115" s="30">
        <f t="shared" si="30"/>
        <v>0</v>
      </c>
      <c r="I115" s="30">
        <f t="shared" si="31"/>
        <v>0</v>
      </c>
      <c r="J115" s="30">
        <f t="shared" si="32"/>
        <v>0</v>
      </c>
      <c r="K115" s="30">
        <f t="shared" ca="1" si="24"/>
        <v>0.36379750296008423</v>
      </c>
      <c r="L115" s="30">
        <f t="shared" ca="1" si="33"/>
        <v>0.13234862315999249</v>
      </c>
      <c r="M115" s="30">
        <f t="shared" ca="1" si="25"/>
        <v>21601.486826857643</v>
      </c>
      <c r="N115" s="30">
        <f t="shared" ca="1" si="26"/>
        <v>23392.497308499947</v>
      </c>
      <c r="O115" s="30">
        <f t="shared" ca="1" si="27"/>
        <v>1563.6819446529491</v>
      </c>
      <c r="P115" s="15">
        <f t="shared" ca="1" si="34"/>
        <v>-0.36379750296008423</v>
      </c>
      <c r="Q115" s="15"/>
      <c r="R115" s="15"/>
      <c r="S115" s="15"/>
      <c r="T115" s="15"/>
    </row>
    <row r="116" spans="1:20" x14ac:dyDescent="0.2">
      <c r="A116" s="75"/>
      <c r="B116" s="75"/>
      <c r="C116" s="15"/>
      <c r="D116" s="76">
        <f t="shared" si="22"/>
        <v>0</v>
      </c>
      <c r="E116" s="76">
        <f t="shared" si="23"/>
        <v>0</v>
      </c>
      <c r="F116" s="30">
        <f t="shared" si="28"/>
        <v>0</v>
      </c>
      <c r="G116" s="30">
        <f t="shared" si="29"/>
        <v>0</v>
      </c>
      <c r="H116" s="30">
        <f t="shared" si="30"/>
        <v>0</v>
      </c>
      <c r="I116" s="30">
        <f t="shared" si="31"/>
        <v>0</v>
      </c>
      <c r="J116" s="30">
        <f t="shared" si="32"/>
        <v>0</v>
      </c>
      <c r="K116" s="30">
        <f t="shared" ca="1" si="24"/>
        <v>0.36379750296008423</v>
      </c>
      <c r="L116" s="30">
        <f t="shared" ca="1" si="33"/>
        <v>0.13234862315999249</v>
      </c>
      <c r="M116" s="30">
        <f t="shared" ca="1" si="25"/>
        <v>21601.486826857643</v>
      </c>
      <c r="N116" s="30">
        <f t="shared" ca="1" si="26"/>
        <v>23392.497308499947</v>
      </c>
      <c r="O116" s="30">
        <f t="shared" ca="1" si="27"/>
        <v>1563.6819446529491</v>
      </c>
      <c r="P116" s="15">
        <f t="shared" ca="1" si="34"/>
        <v>-0.36379750296008423</v>
      </c>
      <c r="Q116" s="15"/>
      <c r="R116" s="15"/>
      <c r="S116" s="15"/>
      <c r="T116" s="15"/>
    </row>
    <row r="117" spans="1:20" x14ac:dyDescent="0.2">
      <c r="A117" s="75"/>
      <c r="B117" s="75"/>
      <c r="C117" s="15"/>
      <c r="D117" s="76">
        <f t="shared" ref="D117:D123" si="35">A117/A$18</f>
        <v>0</v>
      </c>
      <c r="E117" s="76">
        <f t="shared" ref="E117:E123" si="36">B117/B$18</f>
        <v>0</v>
      </c>
      <c r="F117" s="30">
        <f t="shared" si="28"/>
        <v>0</v>
      </c>
      <c r="G117" s="30">
        <f t="shared" si="29"/>
        <v>0</v>
      </c>
      <c r="H117" s="30">
        <f t="shared" si="30"/>
        <v>0</v>
      </c>
      <c r="I117" s="30">
        <f t="shared" si="31"/>
        <v>0</v>
      </c>
      <c r="J117" s="30">
        <f t="shared" si="32"/>
        <v>0</v>
      </c>
      <c r="K117" s="30">
        <f t="shared" ref="K117:K123" ca="1" si="37">+E$4+E$5*D117+E$6*D117^2</f>
        <v>0.36379750296008423</v>
      </c>
      <c r="L117" s="30">
        <f t="shared" ca="1" si="33"/>
        <v>0.13234862315999249</v>
      </c>
      <c r="M117" s="30">
        <f t="shared" ref="M117:M123" ca="1" si="38">(M$1-M$2*D117+M$3*F117)^2</f>
        <v>21601.486826857643</v>
      </c>
      <c r="N117" s="30">
        <f t="shared" ref="N117:N123" ca="1" si="39">(-M$2+M$4*D117-M$5*F117)^2</f>
        <v>23392.497308499947</v>
      </c>
      <c r="O117" s="30">
        <f t="shared" ref="O117:O123" ca="1" si="40">+(M$3-D117*M$5+F117*M$6)^2</f>
        <v>1563.6819446529491</v>
      </c>
      <c r="P117" s="15">
        <f t="shared" ca="1" si="34"/>
        <v>-0.36379750296008423</v>
      </c>
      <c r="Q117" s="15"/>
      <c r="R117" s="15"/>
      <c r="S117" s="15"/>
      <c r="T117" s="15"/>
    </row>
    <row r="118" spans="1:20" x14ac:dyDescent="0.2">
      <c r="A118" s="75"/>
      <c r="B118" s="75"/>
      <c r="C118" s="15"/>
      <c r="D118" s="76">
        <f t="shared" si="35"/>
        <v>0</v>
      </c>
      <c r="E118" s="76">
        <f t="shared" si="36"/>
        <v>0</v>
      </c>
      <c r="F118" s="30">
        <f t="shared" si="28"/>
        <v>0</v>
      </c>
      <c r="G118" s="30">
        <f t="shared" si="29"/>
        <v>0</v>
      </c>
      <c r="H118" s="30">
        <f t="shared" si="30"/>
        <v>0</v>
      </c>
      <c r="I118" s="30">
        <f t="shared" si="31"/>
        <v>0</v>
      </c>
      <c r="J118" s="30">
        <f t="shared" si="32"/>
        <v>0</v>
      </c>
      <c r="K118" s="30">
        <f t="shared" ca="1" si="37"/>
        <v>0.36379750296008423</v>
      </c>
      <c r="L118" s="30">
        <f t="shared" ca="1" si="33"/>
        <v>0.13234862315999249</v>
      </c>
      <c r="M118" s="30">
        <f t="shared" ca="1" si="38"/>
        <v>21601.486826857643</v>
      </c>
      <c r="N118" s="30">
        <f t="shared" ca="1" si="39"/>
        <v>23392.497308499947</v>
      </c>
      <c r="O118" s="30">
        <f t="shared" ca="1" si="40"/>
        <v>1563.6819446529491</v>
      </c>
      <c r="P118" s="15">
        <f t="shared" ca="1" si="34"/>
        <v>-0.36379750296008423</v>
      </c>
      <c r="Q118" s="15"/>
      <c r="R118" s="15"/>
      <c r="S118" s="15"/>
      <c r="T118" s="15"/>
    </row>
    <row r="119" spans="1:20" x14ac:dyDescent="0.2">
      <c r="A119" s="75"/>
      <c r="B119" s="75"/>
      <c r="C119" s="15"/>
      <c r="D119" s="76">
        <f t="shared" si="35"/>
        <v>0</v>
      </c>
      <c r="E119" s="76">
        <f t="shared" si="36"/>
        <v>0</v>
      </c>
      <c r="F119" s="30">
        <f t="shared" si="28"/>
        <v>0</v>
      </c>
      <c r="G119" s="30">
        <f t="shared" si="29"/>
        <v>0</v>
      </c>
      <c r="H119" s="30">
        <f t="shared" si="30"/>
        <v>0</v>
      </c>
      <c r="I119" s="30">
        <f t="shared" si="31"/>
        <v>0</v>
      </c>
      <c r="J119" s="30">
        <f t="shared" si="32"/>
        <v>0</v>
      </c>
      <c r="K119" s="30">
        <f t="shared" ca="1" si="37"/>
        <v>0.36379750296008423</v>
      </c>
      <c r="L119" s="30">
        <f t="shared" ca="1" si="33"/>
        <v>0.13234862315999249</v>
      </c>
      <c r="M119" s="30">
        <f t="shared" ca="1" si="38"/>
        <v>21601.486826857643</v>
      </c>
      <c r="N119" s="30">
        <f t="shared" ca="1" si="39"/>
        <v>23392.497308499947</v>
      </c>
      <c r="O119" s="30">
        <f t="shared" ca="1" si="40"/>
        <v>1563.6819446529491</v>
      </c>
      <c r="P119" s="15">
        <f t="shared" ca="1" si="34"/>
        <v>-0.36379750296008423</v>
      </c>
      <c r="Q119" s="15"/>
      <c r="R119" s="15"/>
      <c r="S119" s="15"/>
      <c r="T119" s="15"/>
    </row>
    <row r="120" spans="1:20" x14ac:dyDescent="0.2">
      <c r="A120" s="75"/>
      <c r="B120" s="75"/>
      <c r="C120" s="15"/>
      <c r="D120" s="76">
        <f t="shared" si="35"/>
        <v>0</v>
      </c>
      <c r="E120" s="76">
        <f t="shared" si="36"/>
        <v>0</v>
      </c>
      <c r="F120" s="30">
        <f t="shared" si="28"/>
        <v>0</v>
      </c>
      <c r="G120" s="30">
        <f t="shared" si="29"/>
        <v>0</v>
      </c>
      <c r="H120" s="30">
        <f t="shared" si="30"/>
        <v>0</v>
      </c>
      <c r="I120" s="30">
        <f t="shared" si="31"/>
        <v>0</v>
      </c>
      <c r="J120" s="30">
        <f t="shared" si="32"/>
        <v>0</v>
      </c>
      <c r="K120" s="30">
        <f t="shared" ca="1" si="37"/>
        <v>0.36379750296008423</v>
      </c>
      <c r="L120" s="30">
        <f t="shared" ca="1" si="33"/>
        <v>0.13234862315999249</v>
      </c>
      <c r="M120" s="30">
        <f t="shared" ca="1" si="38"/>
        <v>21601.486826857643</v>
      </c>
      <c r="N120" s="30">
        <f t="shared" ca="1" si="39"/>
        <v>23392.497308499947</v>
      </c>
      <c r="O120" s="30">
        <f t="shared" ca="1" si="40"/>
        <v>1563.6819446529491</v>
      </c>
      <c r="P120" s="15">
        <f t="shared" ca="1" si="34"/>
        <v>-0.36379750296008423</v>
      </c>
      <c r="Q120" s="15"/>
      <c r="R120" s="15"/>
      <c r="S120" s="15"/>
      <c r="T120" s="15"/>
    </row>
    <row r="121" spans="1:20" x14ac:dyDescent="0.2">
      <c r="A121" s="75"/>
      <c r="B121" s="75"/>
      <c r="C121" s="15"/>
      <c r="D121" s="76">
        <f t="shared" si="35"/>
        <v>0</v>
      </c>
      <c r="E121" s="76">
        <f t="shared" si="36"/>
        <v>0</v>
      </c>
      <c r="F121" s="30">
        <f t="shared" si="28"/>
        <v>0</v>
      </c>
      <c r="G121" s="30">
        <f t="shared" si="29"/>
        <v>0</v>
      </c>
      <c r="H121" s="30">
        <f t="shared" si="30"/>
        <v>0</v>
      </c>
      <c r="I121" s="30">
        <f t="shared" si="31"/>
        <v>0</v>
      </c>
      <c r="J121" s="30">
        <f t="shared" si="32"/>
        <v>0</v>
      </c>
      <c r="K121" s="30">
        <f t="shared" ca="1" si="37"/>
        <v>0.36379750296008423</v>
      </c>
      <c r="L121" s="30">
        <f t="shared" ca="1" si="33"/>
        <v>0.13234862315999249</v>
      </c>
      <c r="M121" s="30">
        <f t="shared" ca="1" si="38"/>
        <v>21601.486826857643</v>
      </c>
      <c r="N121" s="30">
        <f t="shared" ca="1" si="39"/>
        <v>23392.497308499947</v>
      </c>
      <c r="O121" s="30">
        <f t="shared" ca="1" si="40"/>
        <v>1563.6819446529491</v>
      </c>
      <c r="P121" s="15">
        <f t="shared" ca="1" si="34"/>
        <v>-0.36379750296008423</v>
      </c>
      <c r="Q121" s="15"/>
      <c r="R121" s="15"/>
      <c r="S121" s="15"/>
      <c r="T121" s="15"/>
    </row>
    <row r="122" spans="1:20" x14ac:dyDescent="0.2">
      <c r="A122" s="75"/>
      <c r="B122" s="75"/>
      <c r="C122" s="15"/>
      <c r="D122" s="76">
        <f t="shared" si="35"/>
        <v>0</v>
      </c>
      <c r="E122" s="76">
        <f t="shared" si="36"/>
        <v>0</v>
      </c>
      <c r="F122" s="30">
        <f t="shared" si="28"/>
        <v>0</v>
      </c>
      <c r="G122" s="30">
        <f t="shared" si="29"/>
        <v>0</v>
      </c>
      <c r="H122" s="30">
        <f t="shared" si="30"/>
        <v>0</v>
      </c>
      <c r="I122" s="30">
        <f t="shared" si="31"/>
        <v>0</v>
      </c>
      <c r="J122" s="30">
        <f t="shared" si="32"/>
        <v>0</v>
      </c>
      <c r="K122" s="30">
        <f t="shared" ca="1" si="37"/>
        <v>0.36379750296008423</v>
      </c>
      <c r="L122" s="30">
        <f t="shared" ca="1" si="33"/>
        <v>0.13234862315999249</v>
      </c>
      <c r="M122" s="30">
        <f t="shared" ca="1" si="38"/>
        <v>21601.486826857643</v>
      </c>
      <c r="N122" s="30">
        <f t="shared" ca="1" si="39"/>
        <v>23392.497308499947</v>
      </c>
      <c r="O122" s="30">
        <f t="shared" ca="1" si="40"/>
        <v>1563.6819446529491</v>
      </c>
      <c r="P122" s="15">
        <f t="shared" ca="1" si="34"/>
        <v>-0.36379750296008423</v>
      </c>
      <c r="Q122" s="15"/>
      <c r="R122" s="15"/>
      <c r="S122" s="15"/>
      <c r="T122" s="15"/>
    </row>
    <row r="123" spans="1:20" x14ac:dyDescent="0.2">
      <c r="A123" s="75"/>
      <c r="B123" s="75"/>
      <c r="C123" s="15"/>
      <c r="D123" s="76">
        <f t="shared" si="35"/>
        <v>0</v>
      </c>
      <c r="E123" s="76">
        <f t="shared" si="36"/>
        <v>0</v>
      </c>
      <c r="F123" s="30">
        <f t="shared" si="28"/>
        <v>0</v>
      </c>
      <c r="G123" s="30">
        <f t="shared" si="29"/>
        <v>0</v>
      </c>
      <c r="H123" s="30">
        <f t="shared" si="30"/>
        <v>0</v>
      </c>
      <c r="I123" s="30">
        <f t="shared" si="31"/>
        <v>0</v>
      </c>
      <c r="J123" s="30">
        <f t="shared" si="32"/>
        <v>0</v>
      </c>
      <c r="K123" s="30">
        <f t="shared" ca="1" si="37"/>
        <v>0.36379750296008423</v>
      </c>
      <c r="L123" s="30">
        <f t="shared" ca="1" si="33"/>
        <v>0.13234862315999249</v>
      </c>
      <c r="M123" s="30">
        <f t="shared" ca="1" si="38"/>
        <v>21601.486826857643</v>
      </c>
      <c r="N123" s="30">
        <f t="shared" ca="1" si="39"/>
        <v>23392.497308499947</v>
      </c>
      <c r="O123" s="30">
        <f t="shared" ca="1" si="40"/>
        <v>1563.6819446529491</v>
      </c>
      <c r="P123" s="15">
        <f t="shared" ca="1" si="34"/>
        <v>-0.36379750296008423</v>
      </c>
      <c r="Q123" s="15"/>
      <c r="R123" s="15"/>
      <c r="S123" s="15"/>
      <c r="T123" s="15"/>
    </row>
    <row r="124" spans="1:20" x14ac:dyDescent="0.2">
      <c r="A124" s="77"/>
      <c r="B124" s="77"/>
      <c r="C124" s="15"/>
      <c r="D124" s="78"/>
      <c r="E124" s="78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x14ac:dyDescent="0.2">
      <c r="A125" s="77"/>
      <c r="B125" s="77"/>
      <c r="C125" s="15"/>
      <c r="D125" s="78"/>
      <c r="E125" s="78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x14ac:dyDescent="0.2">
      <c r="A126" s="77"/>
      <c r="B126" s="77"/>
      <c r="C126" s="15"/>
      <c r="D126" s="78"/>
      <c r="E126" s="78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x14ac:dyDescent="0.2">
      <c r="A127" s="77"/>
      <c r="B127" s="77"/>
      <c r="C127" s="15"/>
      <c r="D127" s="78"/>
      <c r="E127" s="78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x14ac:dyDescent="0.2">
      <c r="A128" s="77"/>
      <c r="B128" s="77"/>
      <c r="C128" s="15"/>
      <c r="D128" s="78"/>
      <c r="E128" s="78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x14ac:dyDescent="0.2">
      <c r="A129" s="77"/>
      <c r="B129" s="77"/>
      <c r="C129" s="15"/>
      <c r="D129" s="78"/>
      <c r="E129" s="78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x14ac:dyDescent="0.2">
      <c r="A130" s="77"/>
      <c r="B130" s="77"/>
      <c r="C130" s="15"/>
      <c r="D130" s="78"/>
      <c r="E130" s="78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x14ac:dyDescent="0.2">
      <c r="A131" s="77"/>
      <c r="B131" s="77"/>
      <c r="C131" s="15"/>
      <c r="D131" s="78"/>
      <c r="E131" s="78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x14ac:dyDescent="0.2">
      <c r="A132" s="77"/>
      <c r="B132" s="77"/>
      <c r="C132" s="15"/>
      <c r="D132" s="78"/>
      <c r="E132" s="78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x14ac:dyDescent="0.2">
      <c r="A133" s="77"/>
      <c r="B133" s="77"/>
      <c r="C133" s="15"/>
      <c r="D133" s="78"/>
      <c r="E133" s="78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x14ac:dyDescent="0.2">
      <c r="A134" s="77"/>
      <c r="B134" s="77"/>
      <c r="C134" s="15"/>
      <c r="D134" s="78"/>
      <c r="E134" s="78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x14ac:dyDescent="0.2">
      <c r="A135" s="77"/>
      <c r="B135" s="77"/>
      <c r="C135" s="15"/>
      <c r="D135" s="78"/>
      <c r="E135" s="78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x14ac:dyDescent="0.2">
      <c r="A136" s="77"/>
      <c r="B136" s="77"/>
      <c r="C136" s="15"/>
      <c r="D136" s="78"/>
      <c r="E136" s="78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x14ac:dyDescent="0.2">
      <c r="A137" s="77"/>
      <c r="B137" s="77"/>
      <c r="C137" s="15"/>
      <c r="D137" s="78"/>
      <c r="E137" s="78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x14ac:dyDescent="0.2">
      <c r="A138" s="77"/>
      <c r="B138" s="77"/>
      <c r="C138" s="15"/>
      <c r="D138" s="78"/>
      <c r="E138" s="78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x14ac:dyDescent="0.2">
      <c r="A139" s="77"/>
      <c r="B139" s="77"/>
      <c r="C139" s="15"/>
      <c r="D139" s="78"/>
      <c r="E139" s="78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x14ac:dyDescent="0.2">
      <c r="A140" s="77"/>
      <c r="B140" s="77"/>
      <c r="C140" s="15"/>
      <c r="D140" s="78"/>
      <c r="E140" s="78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x14ac:dyDescent="0.2">
      <c r="A141" s="77"/>
      <c r="B141" s="77"/>
      <c r="C141" s="15"/>
      <c r="D141" s="78"/>
      <c r="E141" s="78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x14ac:dyDescent="0.2">
      <c r="A142" s="77"/>
      <c r="B142" s="77"/>
      <c r="C142" s="15"/>
      <c r="D142" s="78"/>
      <c r="E142" s="78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x14ac:dyDescent="0.2">
      <c r="A143" s="77"/>
      <c r="B143" s="77"/>
      <c r="C143" s="15"/>
      <c r="D143" s="78"/>
      <c r="E143" s="78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x14ac:dyDescent="0.2">
      <c r="A144" s="77"/>
      <c r="B144" s="77"/>
      <c r="C144" s="15"/>
      <c r="D144" s="78"/>
      <c r="E144" s="78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x14ac:dyDescent="0.2">
      <c r="A145" s="77"/>
      <c r="B145" s="77"/>
      <c r="C145" s="15"/>
      <c r="D145" s="78"/>
      <c r="E145" s="78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x14ac:dyDescent="0.2">
      <c r="A146" s="77"/>
      <c r="B146" s="77"/>
      <c r="C146" s="15"/>
      <c r="D146" s="78"/>
      <c r="E146" s="78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x14ac:dyDescent="0.2">
      <c r="A147" s="77"/>
      <c r="B147" s="77"/>
      <c r="C147" s="15"/>
      <c r="D147" s="78"/>
      <c r="E147" s="78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 x14ac:dyDescent="0.2">
      <c r="A148" s="77"/>
      <c r="B148" s="77"/>
      <c r="C148" s="15"/>
      <c r="D148" s="78"/>
      <c r="E148" s="78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 x14ac:dyDescent="0.2">
      <c r="A149" s="77"/>
      <c r="B149" s="77"/>
      <c r="C149" s="15"/>
      <c r="D149" s="78"/>
      <c r="E149" s="78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x14ac:dyDescent="0.2">
      <c r="A150" s="77"/>
      <c r="B150" s="77"/>
      <c r="C150" s="15"/>
      <c r="D150" s="78"/>
      <c r="E150" s="78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x14ac:dyDescent="0.2">
      <c r="A151" s="77"/>
      <c r="B151" s="77"/>
      <c r="C151" s="15"/>
      <c r="D151" s="78"/>
      <c r="E151" s="78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x14ac:dyDescent="0.2">
      <c r="A152" s="77"/>
      <c r="B152" s="77"/>
      <c r="C152" s="15"/>
      <c r="D152" s="78"/>
      <c r="E152" s="78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 x14ac:dyDescent="0.2">
      <c r="A153" s="77"/>
      <c r="B153" s="77"/>
      <c r="C153" s="15"/>
      <c r="D153" s="78"/>
      <c r="E153" s="78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 x14ac:dyDescent="0.2">
      <c r="A154" s="77"/>
      <c r="B154" s="77"/>
      <c r="C154" s="15"/>
      <c r="D154" s="78"/>
      <c r="E154" s="78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 x14ac:dyDescent="0.2">
      <c r="A155" s="77"/>
      <c r="B155" s="77"/>
      <c r="C155" s="15"/>
      <c r="D155" s="78"/>
      <c r="E155" s="78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x14ac:dyDescent="0.2">
      <c r="A156" s="77"/>
      <c r="B156" s="77"/>
      <c r="C156" s="15"/>
      <c r="D156" s="78"/>
      <c r="E156" s="78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x14ac:dyDescent="0.2">
      <c r="A157" s="77"/>
      <c r="B157" s="77"/>
      <c r="C157" s="15"/>
      <c r="D157" s="78"/>
      <c r="E157" s="78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 x14ac:dyDescent="0.2">
      <c r="A158" s="77"/>
      <c r="B158" s="77"/>
      <c r="C158" s="15"/>
      <c r="D158" s="78"/>
      <c r="E158" s="78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x14ac:dyDescent="0.2">
      <c r="A159" s="77"/>
      <c r="B159" s="77"/>
      <c r="C159" s="15"/>
      <c r="D159" s="78"/>
      <c r="E159" s="78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 x14ac:dyDescent="0.2">
      <c r="A160" s="77"/>
      <c r="B160" s="77"/>
      <c r="C160" s="15"/>
      <c r="D160" s="78"/>
      <c r="E160" s="78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x14ac:dyDescent="0.2">
      <c r="A161" s="77"/>
      <c r="B161" s="77"/>
      <c r="C161" s="15"/>
      <c r="D161" s="78"/>
      <c r="E161" s="78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x14ac:dyDescent="0.2">
      <c r="A162" s="77"/>
      <c r="B162" s="77"/>
      <c r="C162" s="15"/>
      <c r="D162" s="78"/>
      <c r="E162" s="78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x14ac:dyDescent="0.2">
      <c r="A163" s="77"/>
      <c r="B163" s="77"/>
      <c r="C163" s="15"/>
      <c r="D163" s="78"/>
      <c r="E163" s="78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2023-01-17T04:48:15Z</dcterms:modified>
</cp:coreProperties>
</file>