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756EE9D-BFE7-401E-B8E8-88F5855AF392}" xr6:coauthVersionLast="47" xr6:coauthVersionMax="47" xr10:uidLastSave="{00000000-0000-0000-0000-000000000000}"/>
  <bookViews>
    <workbookView xWindow="14790" yWindow="93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19" i="1" l="1"/>
  <c r="E18" i="1" s="1"/>
  <c r="R26" i="1"/>
  <c r="E26" i="1"/>
  <c r="F26" i="1"/>
  <c r="G26" i="1" s="1"/>
  <c r="K26" i="1" s="1"/>
  <c r="Q26" i="1"/>
  <c r="E24" i="1"/>
  <c r="F24" i="1"/>
  <c r="G24" i="1"/>
  <c r="E22" i="1"/>
  <c r="F22" i="1"/>
  <c r="G22" i="1"/>
  <c r="E23" i="1"/>
  <c r="F23" i="1"/>
  <c r="G23" i="1"/>
  <c r="E25" i="1"/>
  <c r="F25" i="1"/>
  <c r="G25" i="1"/>
  <c r="S25" i="1"/>
  <c r="C14" i="1"/>
  <c r="C13" i="1"/>
  <c r="E21" i="1"/>
  <c r="F21" i="1"/>
  <c r="D14" i="1"/>
  <c r="D13" i="1"/>
  <c r="Q22" i="1"/>
  <c r="Q23" i="1"/>
  <c r="Q24" i="1"/>
  <c r="Q25" i="1"/>
  <c r="G21" i="1"/>
  <c r="U21" i="1"/>
  <c r="F12" i="1"/>
  <c r="F13" i="1" s="1"/>
  <c r="C17" i="1"/>
  <c r="Q21" i="1"/>
  <c r="K24" i="1"/>
  <c r="R24" i="1"/>
  <c r="J23" i="1"/>
  <c r="S23" i="1"/>
  <c r="K22" i="1"/>
  <c r="R22" i="1"/>
  <c r="K25" i="1"/>
  <c r="S19" i="1"/>
  <c r="E19" i="1"/>
  <c r="D11" i="1"/>
  <c r="D12" i="1"/>
  <c r="C12" i="1"/>
  <c r="P26" i="1" l="1"/>
  <c r="C16" i="1"/>
  <c r="D18" i="1" s="1"/>
  <c r="D16" i="1"/>
  <c r="D19" i="1" s="1"/>
  <c r="P21" i="1"/>
  <c r="P24" i="1"/>
  <c r="P22" i="1"/>
  <c r="D15" i="1"/>
  <c r="C19" i="1" s="1"/>
  <c r="P23" i="1"/>
  <c r="P25" i="1"/>
  <c r="C11" i="1"/>
  <c r="O26" i="1" l="1"/>
  <c r="O24" i="1"/>
  <c r="O23" i="1"/>
  <c r="O21" i="1"/>
  <c r="O22" i="1"/>
  <c r="O25" i="1"/>
  <c r="C15" i="1"/>
  <c r="C18" i="1" l="1"/>
  <c r="F14" i="1"/>
  <c r="F15" i="1" s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<sst xmlns="http://schemas.openxmlformats.org/spreadsheetml/2006/main" count="61" uniqueCount="53">
  <si>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</si>
  <si>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</si>
  <si>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</si>
  <si>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</si>
  <si>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</si>
  <si>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</si>
  <si>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</si>
  <si>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</si>
  <si>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</si>
  <si>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</si>
  <si>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</si>
  <si>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</si>
  <si>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</si>
  <si>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</si>
  <si>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</si>
  <si>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</si>
  <si>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</si>
  <si>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</si>
  <si>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</si>
  <si>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</si>
  <si>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</si>
  <si>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</si>
  <si>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</si>
  <si>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</si>
  <si>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</si>
  <si>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</si>
  <si>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</si>
  <si>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</si>
  <si>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</si>
  <si>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</si>
  <si>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</si>
  <si>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Local time</t>
  </si>
  <si>
    <t>Add cycle</t>
  </si>
  <si>
    <t>JD today</t>
  </si>
  <si>
    <t>Old Cycle</t>
  </si>
  <si>
    <t>New Cycle</t>
  </si>
  <si>
    <t>Next ToM</t>
  </si>
  <si>
    <t>EK Lyn / GSC 2973-0339</t>
  </si>
  <si>
    <t>EA</t>
  </si>
  <si>
    <t>IBVS 5630</t>
  </si>
  <si>
    <t>as of 2019-07-06</t>
  </si>
  <si>
    <t>IBVS 6029</t>
  </si>
  <si>
    <t>I</t>
  </si>
  <si>
    <t>IBVS 6118</t>
  </si>
  <si>
    <t>OEJV 0168</t>
  </si>
  <si>
    <t>IBVS 6244</t>
  </si>
  <si>
    <t>BAD?</t>
  </si>
  <si>
    <t>pg</t>
  </si>
  <si>
    <t>vis</t>
  </si>
  <si>
    <t>PE</t>
  </si>
  <si>
    <t>CCD</t>
  </si>
  <si>
    <t>My time zone 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</si>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</sst>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20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2" borderId="0" xfId="0" applyFont="1" applyFill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center" wrapText="1"/>
    </xf>
    <xf numFmtId="0" fontId="18" fillId="0" borderId="0" xfId="7" applyFont="1" applyAlignment="1">
      <alignment horizontal="left" wrapText="1"/>
    </xf>
    <xf numFmtId="0" fontId="19" fillId="0" borderId="5" xfId="0" applyFont="1" applyBorder="1" applyAlignment="1">
      <alignment horizontal="center"/>
    </xf>
    <xf numFmtId="0" fontId="4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2" fontId="22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Lyn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1">
                  <c:v>-2.369299999998475</c:v>
                </c:pt>
                <c:pt idx="3">
                  <c:v>-2.4142200000060257</c:v>
                </c:pt>
                <c:pt idx="5">
                  <c:v>-2.51715000000695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7-4BBE-B591-99F3772396D4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-2.1784770781316003</c:v>
                </c:pt>
                <c:pt idx="1">
                  <c:v>-2.3753548568887273</c:v>
                </c:pt>
                <c:pt idx="2">
                  <c:v>-2.4070256482502046</c:v>
                </c:pt>
                <c:pt idx="3">
                  <c:v>-2.4064871958468408</c:v>
                </c:pt>
                <c:pt idx="4">
                  <c:v>-2.4552905636789779</c:v>
                </c:pt>
                <c:pt idx="5">
                  <c:v>-2.5188279472758826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7-4BBE-B591-99F37723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753072"/>
        <c:axId val="1"/>
      </c:scatterChart>
      <c:valAx>
        <c:axId val="80675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75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Lyn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516129032258"/>
          <c:y val="0.11550151975683891"/>
          <c:w val="0.84838709677419355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Active!$C$21:$C$494</c:f>
                <c:numCache>
                  <c:formatCode>General</c:formatCode>
                  <c:ptCount val="474"/>
                  <c:pt idx="0">
                    <c:v>51497.82</c:v>
                  </c:pt>
                  <c:pt idx="1">
                    <c:v>55990.639000000003</c:v>
                  </c:pt>
                  <c:pt idx="2">
                    <c:v>56713.340600000003</c:v>
                  </c:pt>
                  <c:pt idx="3">
                    <c:v>56701.419479999997</c:v>
                  </c:pt>
                  <c:pt idx="4">
                    <c:v>57815.463400000001</c:v>
                  </c:pt>
                  <c:pt idx="5">
                    <c:v>59266.323299999996</c:v>
                  </c:pt>
                </c:numCache>
              </c:numRef>
            </c:plus>
            <c:minus>
              <c:numRef>
                <c:f>Active!$C$21:$C$494</c:f>
                <c:numCache>
                  <c:formatCode>General</c:formatCode>
                  <c:ptCount val="474"/>
                  <c:pt idx="0">
                    <c:v>51497.82</c:v>
                  </c:pt>
                  <c:pt idx="1">
                    <c:v>55990.639000000003</c:v>
                  </c:pt>
                  <c:pt idx="2">
                    <c:v>56713.340600000003</c:v>
                  </c:pt>
                  <c:pt idx="3">
                    <c:v>56701.419479999997</c:v>
                  </c:pt>
                  <c:pt idx="4">
                    <c:v>57815.463400000001</c:v>
                  </c:pt>
                  <c:pt idx="5">
                    <c:v>59266.323299999996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AA-4265-99B8-8996C9D4D2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A-4265-99B8-8996C9D4D2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2">
                  <c:v>-2.7872499999939464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AA-4265-99B8-8996C9D4D2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1">
                  <c:v>-2.369299999998475</c:v>
                </c:pt>
                <c:pt idx="3">
                  <c:v>-2.4142200000060257</c:v>
                </c:pt>
                <c:pt idx="4">
                  <c:v>-2.6673499999960768</c:v>
                </c:pt>
                <c:pt idx="5">
                  <c:v>-2.51715000000695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AA-4265-99B8-8996C9D4D2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AA-4265-99B8-8996C9D4D2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AA-4265-99B8-8996C9D4D2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AA-4265-99B8-8996C9D4D2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-2.1784770781316003</c:v>
                </c:pt>
                <c:pt idx="1">
                  <c:v>-2.3753548568887273</c:v>
                </c:pt>
                <c:pt idx="2">
                  <c:v>-2.4070256482502046</c:v>
                </c:pt>
                <c:pt idx="3">
                  <c:v>-2.4064871958468408</c:v>
                </c:pt>
                <c:pt idx="4">
                  <c:v>-2.4552905636789779</c:v>
                </c:pt>
                <c:pt idx="5">
                  <c:v>-2.5188279472758826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AA-4265-99B8-8996C9D4D2E4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-3.3550117646897406</c:v>
                </c:pt>
                <c:pt idx="1">
                  <c:v>-2.8659267748404185</c:v>
                </c:pt>
                <c:pt idx="2">
                  <c:v>-2.7872499999939464</c:v>
                </c:pt>
                <c:pt idx="3">
                  <c:v>-2.7885876267687704</c:v>
                </c:pt>
                <c:pt idx="4">
                  <c:v>-2.6673499999960768</c:v>
                </c:pt>
                <c:pt idx="5">
                  <c:v>-2.5095100405668327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AA-4265-99B8-8996C9D4D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750448"/>
        <c:axId val="1"/>
      </c:scatterChart>
      <c:valAx>
        <c:axId val="806750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6774193548386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5562310030395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06750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935483870967742E-2"/>
          <c:y val="0.92097264437689974"/>
          <c:w val="0.8306451612903226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Lyn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836742503131480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2">
                  <c:v>-2.7872499999939464</c:v>
                </c:pt>
                <c:pt idx="4">
                  <c:v>-2.6673499999960768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9-434E-B96C-EBE3AAC5A41D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2011</c:v>
                </c:pt>
                <c:pt idx="2">
                  <c:v>2334.5</c:v>
                </c:pt>
                <c:pt idx="3">
                  <c:v>2329</c:v>
                </c:pt>
                <c:pt idx="4">
                  <c:v>2827.5</c:v>
                </c:pt>
                <c:pt idx="5">
                  <c:v>3476.5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-3.3550117646897406</c:v>
                </c:pt>
                <c:pt idx="1">
                  <c:v>-2.8659267748404185</c:v>
                </c:pt>
                <c:pt idx="2">
                  <c:v>-2.7872499999939464</c:v>
                </c:pt>
                <c:pt idx="3">
                  <c:v>-2.7885876267687704</c:v>
                </c:pt>
                <c:pt idx="4">
                  <c:v>-2.6673499999960768</c:v>
                </c:pt>
                <c:pt idx="5">
                  <c:v>-2.5095100405668327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9-434E-B96C-EBE3AAC5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31576"/>
        <c:axId val="1"/>
      </c:scatterChart>
      <c:valAx>
        <c:axId val="748731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731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467BA93-C76B-485C-390D-8BFCB4239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0</xdr:row>
      <xdr:rowOff>0</xdr:rowOff>
    </xdr:from>
    <xdr:to>
      <xdr:col>30</xdr:col>
      <xdr:colOff>133350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0BA83C2-78F5-2B79-4CDE-9495329D5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73F4EC8F-A8C2-23F1-A055-2B2A4F77A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4257812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16</v>
      </c>
      <c r="B2" s="34" t="s">
        <v>38</v>
      </c>
      <c r="C2" s="13"/>
      <c r="D2" s="13"/>
    </row>
    <row r="3" spans="1:6" ht="13.5" thickBot="1"/>
    <row r="4" spans="1:6" ht="14.25" thickTop="1" thickBot="1">
      <c r="A4" s="6" t="s">
        <v>0</v>
      </c>
      <c r="C4" s="35">
        <v>51497.82</v>
      </c>
      <c r="D4" s="36">
        <v>2.2353000000000001</v>
      </c>
      <c r="E4" s="38" t="s">
        <v>40</v>
      </c>
    </row>
    <row r="5" spans="1:6" ht="13.5" thickTop="1">
      <c r="A5" s="53" t="s">
        <v>51</v>
      </c>
      <c r="C5" s="54">
        <v>-9.5</v>
      </c>
    </row>
    <row r="6" spans="1:6">
      <c r="A6" s="6" t="s">
        <v>1</v>
      </c>
    </row>
    <row r="7" spans="1:6">
      <c r="A7" t="s">
        <v>2</v>
      </c>
      <c r="C7" s="14">
        <v>51497.82</v>
      </c>
      <c r="D7" s="37" t="s">
        <v>39</v>
      </c>
    </row>
    <row r="8" spans="1:6">
      <c r="A8" t="s">
        <v>3</v>
      </c>
      <c r="C8" s="14">
        <v>2.2353000000000001</v>
      </c>
      <c r="D8" s="37" t="s">
        <v>39</v>
      </c>
    </row>
    <row r="9" spans="1:6">
      <c r="A9" s="21" t="s">
        <v>28</v>
      </c>
      <c r="B9" s="21"/>
      <c r="C9" s="22">
        <v>21</v>
      </c>
      <c r="D9" s="22">
        <v>21</v>
      </c>
    </row>
    <row r="10" spans="1:6" ht="13.5" thickBot="1">
      <c r="A10" s="23"/>
      <c r="B10" s="23"/>
      <c r="C10" s="5" t="s">
        <v>18</v>
      </c>
      <c r="D10" s="5" t="s">
        <v>19</v>
      </c>
    </row>
    <row r="11" spans="1:6">
      <c r="A11" s="23" t="s">
        <v>13</v>
      </c>
      <c r="B11" s="23"/>
      <c r="C11" s="24">
        <f ca="1">INTERCEPT(INDIRECT(C14):R$935,INDIRECT(C13):$F$935)</f>
        <v>-2.1784770781316003</v>
      </c>
      <c r="D11" s="24">
        <f ca="1">INTERCEPT(INDIRECT(D14):S$935,INDIRECT(D13):$F$935)</f>
        <v>-3.3550117646897406</v>
      </c>
      <c r="E11" s="21" t="s">
        <v>32</v>
      </c>
      <c r="F11">
        <v>1</v>
      </c>
    </row>
    <row r="12" spans="1:6">
      <c r="A12" s="23" t="s">
        <v>14</v>
      </c>
      <c r="B12" s="23"/>
      <c r="C12" s="24">
        <f ca="1">SLOPE(INDIRECT(C14):R$935,INDIRECT(C13):$F$935)</f>
        <v>-9.7900436975199888E-5</v>
      </c>
      <c r="D12" s="24">
        <f ca="1">SLOPE(INDIRECT(D14):S$935,INDIRECT(D13):$F$935)</f>
        <v>2.4320486814983692E-4</v>
      </c>
      <c r="E12" s="21" t="s">
        <v>33</v>
      </c>
      <c r="F12" s="29">
        <f ca="1">NOW()+15018.5+$C$5/24</f>
        <v>59961.79569525463</v>
      </c>
    </row>
    <row r="13" spans="1:6">
      <c r="A13" s="21" t="s">
        <v>29</v>
      </c>
      <c r="B13" s="21"/>
      <c r="C13" s="22" t="str">
        <f>"F"&amp;C9</f>
        <v>F21</v>
      </c>
      <c r="D13" s="22" t="str">
        <f>"F"&amp;D9</f>
        <v>F21</v>
      </c>
      <c r="E13" s="21" t="s">
        <v>34</v>
      </c>
      <c r="F13" s="29">
        <f ca="1">ROUND(2*(F12-$C$7)/$C$8,0)/2+F11</f>
        <v>3787.5</v>
      </c>
    </row>
    <row r="14" spans="1:6">
      <c r="A14" s="21" t="s">
        <v>30</v>
      </c>
      <c r="B14" s="21"/>
      <c r="C14" s="22" t="str">
        <f>"R"&amp;C9</f>
        <v>R21</v>
      </c>
      <c r="D14" s="22" t="str">
        <f>"S"&amp;D9</f>
        <v>S21</v>
      </c>
      <c r="E14" s="21" t="s">
        <v>35</v>
      </c>
      <c r="F14" s="30">
        <f ca="1">ROUND(2*(F12-$C$15)/$C$16,0)/2+F11</f>
        <v>312.5</v>
      </c>
    </row>
    <row r="15" spans="1:6">
      <c r="A15" s="25" t="s">
        <v>15</v>
      </c>
      <c r="B15" s="23"/>
      <c r="C15" s="26">
        <f ca="1">($C7+C11)+($C8+C12)*INT(MAX($F21:$F3533))</f>
        <v>59265.204021002945</v>
      </c>
      <c r="D15" s="26">
        <f ca="1">($C7+D11)+($C8+D12)*INT(MAX($F21:$F3533))</f>
        <v>59265.213168357004</v>
      </c>
      <c r="E15" s="21" t="s">
        <v>36</v>
      </c>
      <c r="F15" s="31">
        <f ca="1">+$C$15+$C$16*F14-15018.5-$C$5/24</f>
        <v>44945.600510449724</v>
      </c>
    </row>
    <row r="16" spans="1:6">
      <c r="A16" s="27" t="s">
        <v>4</v>
      </c>
      <c r="B16" s="23"/>
      <c r="C16" s="28">
        <f ca="1">+$C8+C12</f>
        <v>2.2352020995630251</v>
      </c>
      <c r="D16" s="24">
        <f ca="1">+$C8+D12</f>
        <v>2.2355432048681498</v>
      </c>
      <c r="E16" s="32"/>
      <c r="F16" s="32" t="s">
        <v>31</v>
      </c>
    </row>
    <row r="17" spans="1:21" ht="13.5" thickBot="1">
      <c r="A17" s="20" t="s">
        <v>27</v>
      </c>
      <c r="C17">
        <f>COUNT(C21:C1247)</f>
        <v>6</v>
      </c>
    </row>
    <row r="18" spans="1:21" ht="14.25" thickTop="1" thickBot="1">
      <c r="A18" s="6" t="s">
        <v>21</v>
      </c>
      <c r="C18" s="3">
        <f ca="1">+C15</f>
        <v>59265.204021002945</v>
      </c>
      <c r="D18" s="4">
        <f ca="1">+C16</f>
        <v>2.2352020995630251</v>
      </c>
      <c r="E18" s="33">
        <f>R19</f>
        <v>3</v>
      </c>
    </row>
    <row r="19" spans="1:21" ht="14.25" thickTop="1" thickBot="1">
      <c r="A19" s="6" t="s">
        <v>22</v>
      </c>
      <c r="C19" s="3">
        <f ca="1">+D15</f>
        <v>59265.213168357004</v>
      </c>
      <c r="D19" s="4">
        <f ca="1">+D16</f>
        <v>2.2355432048681498</v>
      </c>
      <c r="E19" s="33">
        <f>S19</f>
        <v>2</v>
      </c>
      <c r="R19">
        <f>COUNT(R21:R322)</f>
        <v>3</v>
      </c>
      <c r="S19">
        <f>COUNT(S21:S322)</f>
        <v>2</v>
      </c>
    </row>
    <row r="20" spans="1:21" ht="14.25" thickTop="1" thickBot="1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47</v>
      </c>
      <c r="I20" s="8" t="s">
        <v>48</v>
      </c>
      <c r="J20" s="8" t="s">
        <v>49</v>
      </c>
      <c r="K20" s="8" t="s">
        <v>50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  <c r="U20" s="52" t="s">
        <v>46</v>
      </c>
    </row>
    <row r="21" spans="1:21">
      <c r="A21" s="34" t="s">
        <v>39</v>
      </c>
      <c r="C21" s="14">
        <v>51497.82</v>
      </c>
      <c r="D21" s="14" t="s">
        <v>26</v>
      </c>
      <c r="E21">
        <f>+(C21-C$7)/C$8</f>
        <v>0</v>
      </c>
      <c r="F21">
        <f>ROUND(2*E21,0)/2</f>
        <v>0</v>
      </c>
      <c r="G21">
        <f>+C21-(C$7+F21*C$8)</f>
        <v>0</v>
      </c>
      <c r="O21">
        <f t="shared" ref="O21:P25" ca="1" si="0">+C$11+C$12*$F21</f>
        <v>-2.1784770781316003</v>
      </c>
      <c r="P21">
        <f t="shared" ca="1" si="0"/>
        <v>-3.3550117646897406</v>
      </c>
      <c r="Q21" s="2">
        <f>+C21-15018.5</f>
        <v>36479.32</v>
      </c>
      <c r="U21">
        <f>G21</f>
        <v>0</v>
      </c>
    </row>
    <row r="22" spans="1:21">
      <c r="A22" s="39" t="s">
        <v>41</v>
      </c>
      <c r="B22" s="40" t="s">
        <v>42</v>
      </c>
      <c r="C22" s="39">
        <v>55990.639000000003</v>
      </c>
      <c r="D22" s="39">
        <v>3.0000000000000001E-3</v>
      </c>
      <c r="E22">
        <f>+(C22-C$7)/C$8</f>
        <v>2009.9400527893361</v>
      </c>
      <c r="F22" s="41">
        <f>ROUND(2*E22,0)/2+1</f>
        <v>2011</v>
      </c>
      <c r="G22">
        <f>+C22-(C$7+F22*C$8)</f>
        <v>-2.369299999998475</v>
      </c>
      <c r="K22">
        <f>+G22</f>
        <v>-2.369299999998475</v>
      </c>
      <c r="O22">
        <f t="shared" ca="1" si="0"/>
        <v>-2.3753548568887273</v>
      </c>
      <c r="P22">
        <f t="shared" ca="1" si="0"/>
        <v>-2.8659267748404185</v>
      </c>
      <c r="Q22" s="2">
        <f>+C22-15018.5</f>
        <v>40972.139000000003</v>
      </c>
      <c r="R22">
        <f>G22</f>
        <v>-2.369299999998475</v>
      </c>
    </row>
    <row r="23" spans="1:21">
      <c r="A23" s="42" t="s">
        <v>43</v>
      </c>
      <c r="B23" s="43" t="s">
        <v>42</v>
      </c>
      <c r="C23" s="44">
        <v>56713.340600000003</v>
      </c>
      <c r="D23" s="45">
        <v>4.1000000000000003E-3</v>
      </c>
      <c r="E23">
        <f>+(C23-C$7)/C$8</f>
        <v>2333.2530756498022</v>
      </c>
      <c r="F23" s="41">
        <f>ROUND(2*E23,0)/2+1</f>
        <v>2334.5</v>
      </c>
      <c r="G23">
        <f>+C23-(C$7+F23*C$8)</f>
        <v>-2.7872499999939464</v>
      </c>
      <c r="J23">
        <f>+G23</f>
        <v>-2.7872499999939464</v>
      </c>
      <c r="O23">
        <f t="shared" ca="1" si="0"/>
        <v>-2.4070256482502046</v>
      </c>
      <c r="P23">
        <f t="shared" ca="1" si="0"/>
        <v>-2.7872499999939464</v>
      </c>
      <c r="Q23" s="2">
        <f>+C23-15018.5</f>
        <v>41694.840600000003</v>
      </c>
      <c r="S23">
        <f>G23</f>
        <v>-2.7872499999939464</v>
      </c>
    </row>
    <row r="24" spans="1:21">
      <c r="A24" s="46" t="s">
        <v>44</v>
      </c>
      <c r="B24" s="47" t="s">
        <v>42</v>
      </c>
      <c r="C24" s="48">
        <v>56701.419479999997</v>
      </c>
      <c r="D24" s="46">
        <v>1E-4</v>
      </c>
      <c r="E24">
        <f>+(C24-C$7)/C$8</f>
        <v>2327.919957052743</v>
      </c>
      <c r="F24" s="41">
        <f>ROUND(2*E24,0)/2+1</f>
        <v>2329</v>
      </c>
      <c r="G24">
        <f>+C24-(C$7+F24*C$8)</f>
        <v>-2.4142200000060257</v>
      </c>
      <c r="K24">
        <f>+G24</f>
        <v>-2.4142200000060257</v>
      </c>
      <c r="O24">
        <f t="shared" ca="1" si="0"/>
        <v>-2.4064871958468408</v>
      </c>
      <c r="P24">
        <f t="shared" ca="1" si="0"/>
        <v>-2.7885876267687704</v>
      </c>
      <c r="Q24" s="2">
        <f>+C24-15018.5</f>
        <v>41682.919479999997</v>
      </c>
      <c r="R24">
        <f>G24</f>
        <v>-2.4142200000060257</v>
      </c>
    </row>
    <row r="25" spans="1:21">
      <c r="A25" s="49" t="s">
        <v>45</v>
      </c>
      <c r="B25" s="50" t="s">
        <v>42</v>
      </c>
      <c r="C25" s="51">
        <v>57815.463400000001</v>
      </c>
      <c r="D25" s="51">
        <v>1.2999999999999999E-3</v>
      </c>
      <c r="E25">
        <f>+(C25-C$7)/C$8</f>
        <v>2826.3067149823291</v>
      </c>
      <c r="F25" s="41">
        <f>ROUND(2*E25,0)/2+1</f>
        <v>2827.5</v>
      </c>
      <c r="G25">
        <f>+C25-(C$7+F25*C$8)</f>
        <v>-2.6673499999960768</v>
      </c>
      <c r="K25">
        <f>+G25</f>
        <v>-2.6673499999960768</v>
      </c>
      <c r="O25">
        <f t="shared" ca="1" si="0"/>
        <v>-2.4552905636789779</v>
      </c>
      <c r="P25">
        <f t="shared" ca="1" si="0"/>
        <v>-2.6673499999960768</v>
      </c>
      <c r="Q25" s="2">
        <f>+C25-15018.5</f>
        <v>42796.963400000001</v>
      </c>
      <c r="S25">
        <f>G25</f>
        <v>-2.6673499999960768</v>
      </c>
    </row>
    <row r="26" spans="1:21">
      <c r="A26" s="55" t="s">
        <v>52</v>
      </c>
      <c r="B26" s="56" t="s">
        <v>42</v>
      </c>
      <c r="C26" s="57">
        <v>59266.323299999996</v>
      </c>
      <c r="D26" s="55">
        <v>1.6999999999999999E-3</v>
      </c>
      <c r="E26">
        <f>+(C26-C$7)/C$8</f>
        <v>3475.3739095423416</v>
      </c>
      <c r="F26" s="41">
        <f>ROUND(2*E26,0)/2+1</f>
        <v>3476.5</v>
      </c>
      <c r="G26">
        <f>+C26-(C$7+F26*C$8)</f>
        <v>-2.51715000000695</v>
      </c>
      <c r="K26">
        <f>+G26</f>
        <v>-2.51715000000695</v>
      </c>
      <c r="O26">
        <f t="shared" ref="O26" ca="1" si="1">+C$11+C$12*$F26</f>
        <v>-2.5188279472758826</v>
      </c>
      <c r="P26">
        <f t="shared" ref="P26" ca="1" si="2">+D$11+D$12*$F26</f>
        <v>-2.5095100405668327</v>
      </c>
      <c r="Q26" s="2">
        <f>+C26-15018.5</f>
        <v>44247.823299999996</v>
      </c>
      <c r="R26">
        <f t="shared" ref="R25:R26" si="3">G26</f>
        <v>-2.51715000000695</v>
      </c>
    </row>
    <row r="27" spans="1:21">
      <c r="A27" s="10"/>
      <c r="B27" s="10"/>
      <c r="C27" s="11"/>
      <c r="D27" s="11"/>
      <c r="Q27" s="2"/>
    </row>
    <row r="28" spans="1:21">
      <c r="A28" s="10"/>
      <c r="B28" s="10"/>
      <c r="C28" s="11"/>
      <c r="D28" s="11"/>
      <c r="Q28" s="2"/>
    </row>
    <row r="29" spans="1:21">
      <c r="A29" s="15"/>
      <c r="B29" s="16"/>
      <c r="C29" s="17"/>
      <c r="D29" s="17"/>
      <c r="Q29" s="2"/>
    </row>
    <row r="30" spans="1:21">
      <c r="A30" s="12"/>
      <c r="B30" s="13"/>
      <c r="C30" s="11"/>
      <c r="D30" s="14"/>
      <c r="Q30" s="2"/>
    </row>
    <row r="31" spans="1:21">
      <c r="A31" s="15"/>
      <c r="B31" s="18"/>
      <c r="C31" s="11"/>
      <c r="D31" s="11"/>
      <c r="Q31" s="2"/>
    </row>
    <row r="32" spans="1:21">
      <c r="A32" s="15"/>
      <c r="B32" s="18"/>
      <c r="C32" s="11"/>
      <c r="D32" s="11"/>
      <c r="Q32" s="2"/>
    </row>
    <row r="33" spans="1:17">
      <c r="A33" s="19"/>
      <c r="B33" s="13"/>
      <c r="C33" s="11"/>
      <c r="D33" s="14"/>
      <c r="Q33" s="2"/>
    </row>
    <row r="34" spans="1:17">
      <c r="A34" s="19"/>
      <c r="B34" s="13"/>
      <c r="C34" s="11"/>
      <c r="D34" s="14"/>
      <c r="Q34" s="2"/>
    </row>
    <row r="35" spans="1:17">
      <c r="A35" s="19"/>
      <c r="B35" s="13"/>
      <c r="C35" s="11"/>
      <c r="D35" s="14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2023-01-17T06:05:48Z</dcterms:modified>
</cp:coreProperties>
</file>