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6051117-8A42-4DF9-B7D1-ECD9C6B1A275}" xr6:coauthVersionLast="47" xr6:coauthVersionMax="47" xr10:uidLastSave="{00000000-0000-0000-0000-000000000000}"/>
  <bookViews>
    <workbookView xWindow="14460" yWindow="100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D9" i="1"/>
  <c r="C9" i="1"/>
  <c r="Q26" i="1"/>
  <c r="Q24" i="1"/>
  <c r="Q23" i="1"/>
  <c r="Q22" i="1"/>
  <c r="C8" i="1"/>
  <c r="C7" i="1"/>
  <c r="E26" i="1"/>
  <c r="F26" i="1" s="1"/>
  <c r="G26" i="1" s="1"/>
  <c r="K26" i="1" s="1"/>
  <c r="B2" i="1"/>
  <c r="A1" i="1"/>
  <c r="F16" i="1"/>
  <c r="C17" i="1"/>
  <c r="Q21" i="1"/>
  <c r="E24" i="1"/>
  <c r="F24" i="1"/>
  <c r="G24" i="1" s="1"/>
  <c r="K24" i="1" s="1"/>
  <c r="E23" i="1"/>
  <c r="F23" i="1" s="1"/>
  <c r="G23" i="1" s="1"/>
  <c r="K23" i="1" s="1"/>
  <c r="E21" i="1"/>
  <c r="F21" i="1"/>
  <c r="G21" i="1" s="1"/>
  <c r="I21" i="1" s="1"/>
  <c r="E22" i="1"/>
  <c r="F22" i="1" s="1"/>
  <c r="G22" i="1" s="1"/>
  <c r="K22" i="1" s="1"/>
  <c r="C12" i="1"/>
  <c r="C11" i="1"/>
  <c r="O25" i="1" l="1"/>
  <c r="O23" i="1"/>
  <c r="O24" i="1"/>
  <c r="O22" i="1"/>
  <c r="O26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<sst xmlns="http://schemas.openxmlformats.org/spreadsheetml/2006/main" count="60" uniqueCount="55">
  <si>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</si>
  <si>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</si>
  <si>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</si>
  <si>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</si>
  <si>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</si>
  <si>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</si>
  <si>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</si>
  <si>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</si>
  <si>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</si>
  <si>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</si>
  <si>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</si>
  <si>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</si>
  <si>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</si>
  <si>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</si>
  <si>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</si>
  <si>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</si>
  <si>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</si>
  <si>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</si>
  <si>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</si>
  <si>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</si>
  <si>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</si>
  <si>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</si>
  <si>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</si>
  <si>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</si>
  <si>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</si>
  <si>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</si>
  <si>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</si>
  <si>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</si>
  <si>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</si>
  <si>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</si>
  <si>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</si>
  <si>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</si>
  <si>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</si>
  <si>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</si>
  <si>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</si>
  <si>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</si>
  <si>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</si>
  <si>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</si>
  <si>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</si>
  <si>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</si>
  <si>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</si>
  <si>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KO Lyn</t>
  </si>
  <si>
    <t>2014A</t>
  </si>
  <si>
    <t>G2478-0578</t>
  </si>
  <si>
    <t>EW</t>
  </si>
  <si>
    <t>pr_3?</t>
  </si>
  <si>
    <t>~</t>
  </si>
  <si>
    <t>KO</t>
  </si>
  <si>
    <t>GCVS</t>
  </si>
  <si>
    <t>Adjust cycle</t>
  </si>
  <si>
    <t>RHN 2021</t>
  </si>
  <si>
    <t>OEJV 212</t>
  </si>
  <si>
    <t>2020JAVSO..48….1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</si>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</sst>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5" fillId="0" borderId="0" xfId="0" applyFont="1" applyAlignment="1">
      <alignment horizontal="left"/>
    </xf>
    <xf numFmtId="0" fontId="17" fillId="0" borderId="0" xfId="0" applyFont="1">
      <alignment vertical="top"/>
    </xf>
    <xf numFmtId="0" fontId="15" fillId="0" borderId="0" xfId="0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2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Lyn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3-46A2-BD32-7B5BAE8391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B3-46A2-BD32-7B5BAE8391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B3-46A2-BD32-7B5BAE8391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0.27514099999825703</c:v>
                </c:pt>
                <c:pt idx="2">
                  <c:v>0.27761722457944416</c:v>
                </c:pt>
                <c:pt idx="3">
                  <c:v>0.29619649999949615</c:v>
                </c:pt>
                <c:pt idx="4">
                  <c:v>0.29931800000485964</c:v>
                </c:pt>
                <c:pt idx="5">
                  <c:v>0.31064850000257138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B3-46A2-BD32-7B5BAE8391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B3-46A2-BD32-7B5BAE8391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B3-46A2-BD32-7B5BAE8391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1.5E-3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B3-46A2-BD32-7B5BAE8391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-0.11791371152913133</c:v>
                </c:pt>
                <c:pt idx="1">
                  <c:v>0.27493159837794928</c:v>
                </c:pt>
                <c:pt idx="2">
                  <c:v>0.27874187057541983</c:v>
                </c:pt>
                <c:pt idx="3">
                  <c:v>0.29533217050407856</c:v>
                </c:pt>
                <c:pt idx="4">
                  <c:v>0.29819299782611386</c:v>
                </c:pt>
                <c:pt idx="5">
                  <c:v>0.31172258730106672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B3-46A2-BD32-7B5BAE8391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15723</c:v>
                </c:pt>
                <c:pt idx="2">
                  <c:v>15875.5</c:v>
                </c:pt>
                <c:pt idx="3">
                  <c:v>16539.5</c:v>
                </c:pt>
                <c:pt idx="4">
                  <c:v>16654</c:v>
                </c:pt>
                <c:pt idx="5">
                  <c:v>17195.5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B3-46A2-BD32-7B5BAE83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65144"/>
        <c:axId val="1"/>
      </c:scatterChart>
      <c:valAx>
        <c:axId val="95236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6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CE07E9-1FC7-789D-5F51-64400CDBD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0.25" x14ac:dyDescent="0.3">
      <c r="A1" s="1" t="str">
        <f>F1&amp;" / GSC "&amp;RIGHT(I1,9)</f>
        <v>KO Lyn / GSC 2478-0578</v>
      </c>
      <c r="F1" s="37" t="s">
        <v>41</v>
      </c>
      <c r="G1" s="31" t="s">
        <v>42</v>
      </c>
      <c r="H1" s="32"/>
      <c r="I1" s="38" t="s">
        <v>43</v>
      </c>
      <c r="J1" s="37" t="s">
        <v>41</v>
      </c>
      <c r="K1" s="39">
        <v>8.1910480799999998</v>
      </c>
      <c r="L1" s="33">
        <v>35.021741200000001</v>
      </c>
      <c r="M1" s="34">
        <v>51308.962</v>
      </c>
      <c r="N1" s="34">
        <v>0.477433</v>
      </c>
      <c r="O1" s="40" t="s">
        <v>44</v>
      </c>
      <c r="P1" s="40">
        <v>10.75</v>
      </c>
      <c r="Q1" s="40">
        <v>10.96</v>
      </c>
      <c r="R1" s="41" t="s">
        <v>45</v>
      </c>
      <c r="S1" s="42" t="s">
        <v>46</v>
      </c>
      <c r="T1" s="37" t="s">
        <v>47</v>
      </c>
    </row>
    <row r="2" spans="1:20" x14ac:dyDescent="0.2">
      <c r="A2" t="s">
        <v>23</v>
      </c>
      <c r="B2" t="str">
        <f>O1</f>
        <v>EW</v>
      </c>
      <c r="C2" s="30"/>
      <c r="D2" s="3"/>
    </row>
    <row r="3" spans="1:20" ht="13.5" thickBot="1" x14ac:dyDescent="0.25"/>
    <row r="4" spans="1:20" ht="14.25" thickTop="1" thickBot="1" x14ac:dyDescent="0.25">
      <c r="A4" s="5" t="s">
        <v>0</v>
      </c>
      <c r="C4" s="27">
        <v>51308.962</v>
      </c>
      <c r="D4" s="28">
        <v>0.477433</v>
      </c>
    </row>
    <row r="5" spans="1:20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0" x14ac:dyDescent="0.2">
      <c r="A6" s="5" t="s">
        <v>1</v>
      </c>
    </row>
    <row r="7" spans="1:20" x14ac:dyDescent="0.2">
      <c r="A7" t="s">
        <v>2</v>
      </c>
      <c r="C7" s="8">
        <f>M1</f>
        <v>51308.962</v>
      </c>
      <c r="D7" s="29" t="s">
        <v>48</v>
      </c>
    </row>
    <row r="8" spans="1:20" x14ac:dyDescent="0.2">
      <c r="A8" t="s">
        <v>3</v>
      </c>
      <c r="C8" s="8">
        <f>N1</f>
        <v>0.477433</v>
      </c>
      <c r="D8" s="29" t="s">
        <v>48</v>
      </c>
    </row>
    <row r="9" spans="1:20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INTERCEPT(INDIRECT($D$9):G992,INDIRECT($C$9):F992)</f>
        <v>-0.11791371152913133</v>
      </c>
      <c r="D11" s="3"/>
      <c r="E11" s="10"/>
    </row>
    <row r="12" spans="1:20" x14ac:dyDescent="0.2">
      <c r="A12" s="10" t="s">
        <v>16</v>
      </c>
      <c r="B12" s="10"/>
      <c r="C12" s="21">
        <f ca="1">SLOPE(INDIRECT($D$9):G992,INDIRECT($C$9):F992)</f>
        <v>2.4985391458823417E-5</v>
      </c>
      <c r="D12" s="3"/>
      <c r="E12" s="10"/>
    </row>
    <row r="13" spans="1:20" x14ac:dyDescent="0.2">
      <c r="A13" s="10" t="s">
        <v>18</v>
      </c>
      <c r="B13" s="10"/>
      <c r="C13" s="3" t="s">
        <v>13</v>
      </c>
      <c r="E13" t="s">
        <v>49</v>
      </c>
      <c r="F13">
        <v>0.5</v>
      </c>
    </row>
    <row r="14" spans="1:20" x14ac:dyDescent="0.2">
      <c r="A14" s="10"/>
      <c r="B14" s="10"/>
      <c r="C14" s="10"/>
    </row>
    <row r="15" spans="1:20" x14ac:dyDescent="0.2">
      <c r="A15" s="12" t="s">
        <v>17</v>
      </c>
      <c r="B15" s="10"/>
      <c r="C15" s="13">
        <f ca="1">(C7+C11)+(C8+C12)*INT(MAX(F21:F3533))</f>
        <v>59518.734145094604</v>
      </c>
      <c r="E15" s="14" t="s">
        <v>34</v>
      </c>
      <c r="F15" s="35">
        <v>1</v>
      </c>
    </row>
    <row r="16" spans="1:20" x14ac:dyDescent="0.2">
      <c r="A16" s="16" t="s">
        <v>4</v>
      </c>
      <c r="B16" s="10"/>
      <c r="C16" s="17">
        <f ca="1">+C8+C12</f>
        <v>0.47745798539145884</v>
      </c>
      <c r="E16" s="14" t="s">
        <v>30</v>
      </c>
      <c r="F16" s="36">
        <f ca="1">NOW()+15018.5+$C$5/24</f>
        <v>59961.806302430552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18124.5</v>
      </c>
    </row>
    <row r="18" spans="1:21" ht="14.25" thickTop="1" thickBot="1" x14ac:dyDescent="0.25">
      <c r="A18" s="16" t="s">
        <v>5</v>
      </c>
      <c r="B18" s="10"/>
      <c r="C18" s="19">
        <f ca="1">+C15</f>
        <v>59518.734145094604</v>
      </c>
      <c r="D18" s="20">
        <f ca="1">+C16</f>
        <v>0.47745798539145884</v>
      </c>
      <c r="E18" s="14" t="s">
        <v>36</v>
      </c>
      <c r="F18" s="23">
        <f ca="1">ROUND(2*(F16-$C$15)/$C$16,0)/2+F15</f>
        <v>929</v>
      </c>
    </row>
    <row r="19" spans="1:21" ht="13.5" thickTop="1" x14ac:dyDescent="0.2">
      <c r="E19" s="14" t="s">
        <v>31</v>
      </c>
      <c r="F19" s="18">
        <f ca="1">+$C$15+$C$16*F18-15018.5-$C$5/24</f>
        <v>44944.188446856606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48</v>
      </c>
      <c r="C21" s="8">
        <v>51308.962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-0.11791371152913133</v>
      </c>
      <c r="Q21" s="2">
        <f>+C21-15018.5</f>
        <v>36290.462</v>
      </c>
    </row>
    <row r="22" spans="1:21" x14ac:dyDescent="0.2">
      <c r="A22" s="44" t="s">
        <v>52</v>
      </c>
      <c r="C22" s="43">
        <v>58815.9162</v>
      </c>
      <c r="D22" s="8">
        <v>2.9999999999999997E-4</v>
      </c>
      <c r="E22">
        <f>+(C22-C$7)/C$8</f>
        <v>15723.576292380292</v>
      </c>
      <c r="F22">
        <f>ROUND(2*E22,0)/2-F$13</f>
        <v>15723</v>
      </c>
      <c r="G22">
        <f>+C22-(C$7+F22*C$8)</f>
        <v>0.27514099999825703</v>
      </c>
      <c r="K22">
        <f>+G22</f>
        <v>0.27514099999825703</v>
      </c>
      <c r="O22">
        <f ca="1">+C$11+C$12*$F22</f>
        <v>0.27493159837794928</v>
      </c>
      <c r="Q22" s="2">
        <f>+C22-15018.5</f>
        <v>43797.4162</v>
      </c>
    </row>
    <row r="23" spans="1:21" x14ac:dyDescent="0.2">
      <c r="A23" s="44" t="s">
        <v>51</v>
      </c>
      <c r="C23" s="45">
        <v>58888.72720872458</v>
      </c>
      <c r="D23" s="8">
        <v>2.9999999999999997E-4</v>
      </c>
      <c r="E23">
        <f>+(C23-C$7)/C$8</f>
        <v>15876.081478918677</v>
      </c>
      <c r="F23">
        <f>ROUND(2*E23,0)/2-F$13</f>
        <v>15875.5</v>
      </c>
      <c r="G23">
        <f>+C23-(C$7+F23*C$8)</f>
        <v>0.27761722457944416</v>
      </c>
      <c r="K23">
        <f>+G23</f>
        <v>0.27761722457944416</v>
      </c>
      <c r="O23">
        <f ca="1">+C$11+C$12*$F23</f>
        <v>0.27874187057541983</v>
      </c>
      <c r="Q23" s="2">
        <f>+C23-15018.5</f>
        <v>43870.22720872458</v>
      </c>
    </row>
    <row r="24" spans="1:21" x14ac:dyDescent="0.2">
      <c r="A24" s="44" t="s">
        <v>51</v>
      </c>
      <c r="C24" s="8">
        <v>59205.761299999998</v>
      </c>
      <c r="D24" s="8">
        <v>4.0000000000000002E-4</v>
      </c>
      <c r="E24">
        <f>+(C24-C$7)/C$8</f>
        <v>16540.120393856309</v>
      </c>
      <c r="F24">
        <f>ROUND(2*E24,0)/2-F$13</f>
        <v>16539.5</v>
      </c>
      <c r="G24">
        <f>+C24-(C$7+F24*C$8)</f>
        <v>0.29619649999949615</v>
      </c>
      <c r="K24">
        <f>+G24</f>
        <v>0.29619649999949615</v>
      </c>
      <c r="O24">
        <f ca="1">+C$11+C$12*$F24</f>
        <v>0.29533217050407856</v>
      </c>
      <c r="Q24" s="2">
        <f>+C24-15018.5</f>
        <v>44187.261299999998</v>
      </c>
    </row>
    <row r="25" spans="1:21" x14ac:dyDescent="0.2">
      <c r="A25" s="46" t="s">
        <v>53</v>
      </c>
      <c r="B25" s="47" t="s">
        <v>54</v>
      </c>
      <c r="C25" s="48">
        <v>59260.430500000002</v>
      </c>
      <c r="D25" s="46">
        <v>1.5E-3</v>
      </c>
      <c r="E25">
        <f>+(C25-C$7)/C$8</f>
        <v>16654.626931946477</v>
      </c>
      <c r="F25">
        <f>ROUND(2*E25,0)/2-F$13</f>
        <v>16654</v>
      </c>
      <c r="G25">
        <f>+C25-(C$7+F25*C$8)</f>
        <v>0.29931800000485964</v>
      </c>
      <c r="K25">
        <f>+G25</f>
        <v>0.29931800000485964</v>
      </c>
      <c r="O25">
        <f ca="1">+C$11+C$12*$F25</f>
        <v>0.29819299782611386</v>
      </c>
      <c r="Q25" s="2">
        <f>+C25-15018.5</f>
        <v>44241.930500000002</v>
      </c>
    </row>
    <row r="26" spans="1:21" x14ac:dyDescent="0.2">
      <c r="A26" s="44" t="s">
        <v>50</v>
      </c>
      <c r="C26" s="8">
        <v>59518.971799999999</v>
      </c>
      <c r="D26" s="8">
        <v>2.0000000000000001E-4</v>
      </c>
      <c r="E26">
        <f>+(C26-C$7)/C$8</f>
        <v>17196.150664072236</v>
      </c>
      <c r="F26">
        <f>ROUND(2*E26,0)/2-F$13</f>
        <v>17195.5</v>
      </c>
      <c r="G26">
        <f>+C26-(C$7+F26*C$8)</f>
        <v>0.31064850000257138</v>
      </c>
      <c r="K26">
        <f>+G26</f>
        <v>0.31064850000257138</v>
      </c>
      <c r="O26">
        <f ca="1">+C$11+C$12*$F26</f>
        <v>0.31172258730106672</v>
      </c>
      <c r="Q26" s="2">
        <f>+C26-15018.5</f>
        <v>44500.471799999999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2023-01-17T06:21:04Z</dcterms:modified>
</cp:coreProperties>
</file>