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D847050-B840-4F5D-BD85-14EF6B6B8F90}" xr6:coauthVersionLast="47" xr6:coauthVersionMax="47" xr10:uidLastSave="{00000000-0000-0000-0000-000000000000}"/>
  <bookViews>
    <workbookView xWindow="14130" yWindow="18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Q42" i="1"/>
  <c r="E24" i="1"/>
  <c r="F24" i="1"/>
  <c r="E30" i="1"/>
  <c r="F30" i="1"/>
  <c r="E21" i="1"/>
  <c r="F21" i="1"/>
  <c r="G21" i="1"/>
  <c r="E22" i="1"/>
  <c r="F22" i="1"/>
  <c r="G22" i="1"/>
  <c r="C14" i="1"/>
  <c r="C13" i="1"/>
  <c r="C7" i="1"/>
  <c r="E23" i="1"/>
  <c r="F23" i="1"/>
  <c r="C8" i="1"/>
  <c r="E33" i="1"/>
  <c r="F33" i="1"/>
  <c r="U33" i="1"/>
  <c r="E36" i="1"/>
  <c r="F36" i="1"/>
  <c r="U36" i="1"/>
  <c r="D14" i="1"/>
  <c r="D13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F12" i="1"/>
  <c r="F13" i="1" s="1"/>
  <c r="C17" i="1"/>
  <c r="Q21" i="1"/>
  <c r="R22" i="1"/>
  <c r="H22" i="1"/>
  <c r="S21" i="1"/>
  <c r="H21" i="1"/>
  <c r="E34" i="1"/>
  <c r="F34" i="1"/>
  <c r="U34" i="1"/>
  <c r="E35" i="1"/>
  <c r="F35" i="1"/>
  <c r="U35" i="1"/>
  <c r="E38" i="1"/>
  <c r="F38" i="1"/>
  <c r="G38" i="1"/>
  <c r="E29" i="1"/>
  <c r="F29" i="1"/>
  <c r="G29" i="1"/>
  <c r="E40" i="1"/>
  <c r="F40" i="1"/>
  <c r="G40" i="1"/>
  <c r="E25" i="1"/>
  <c r="F25" i="1"/>
  <c r="G25" i="1"/>
  <c r="E41" i="1"/>
  <c r="F41" i="1"/>
  <c r="G41" i="1"/>
  <c r="E37" i="1"/>
  <c r="F37" i="1"/>
  <c r="G37" i="1"/>
  <c r="E27" i="1"/>
  <c r="F27" i="1"/>
  <c r="G27" i="1"/>
  <c r="E31" i="1"/>
  <c r="F31" i="1"/>
  <c r="U31" i="1"/>
  <c r="G23" i="1"/>
  <c r="G30" i="1"/>
  <c r="G24" i="1"/>
  <c r="E26" i="1"/>
  <c r="F26" i="1"/>
  <c r="G26" i="1"/>
  <c r="E32" i="1"/>
  <c r="F32" i="1"/>
  <c r="G32" i="1"/>
  <c r="E28" i="1"/>
  <c r="F28" i="1"/>
  <c r="G28" i="1"/>
  <c r="E39" i="1"/>
  <c r="F39" i="1"/>
  <c r="G39" i="1"/>
  <c r="I39" i="1"/>
  <c r="R39" i="1"/>
  <c r="I32" i="1"/>
  <c r="S32" i="1"/>
  <c r="R28" i="1"/>
  <c r="I28" i="1"/>
  <c r="I26" i="1"/>
  <c r="R26" i="1"/>
  <c r="S30" i="1"/>
  <c r="I30" i="1"/>
  <c r="I38" i="1"/>
  <c r="R38" i="1"/>
  <c r="I29" i="1"/>
  <c r="U29" i="1"/>
  <c r="I27" i="1"/>
  <c r="S27" i="1"/>
  <c r="R24" i="1"/>
  <c r="I24" i="1"/>
  <c r="I37" i="1"/>
  <c r="R37" i="1"/>
  <c r="R23" i="1"/>
  <c r="H23" i="1"/>
  <c r="I41" i="1"/>
  <c r="R41" i="1"/>
  <c r="H25" i="1"/>
  <c r="R25" i="1"/>
  <c r="R40" i="1"/>
  <c r="I40" i="1"/>
  <c r="S19" i="1"/>
  <c r="E19" i="1" s="1"/>
  <c r="D12" i="1"/>
  <c r="D11" i="1"/>
  <c r="P42" i="1" l="1"/>
  <c r="I42" i="1"/>
  <c r="S42" i="1"/>
  <c r="P39" i="1"/>
  <c r="P40" i="1"/>
  <c r="P33" i="1"/>
  <c r="P32" i="1"/>
  <c r="P38" i="1"/>
  <c r="P37" i="1"/>
  <c r="P27" i="1"/>
  <c r="P24" i="1"/>
  <c r="P35" i="1"/>
  <c r="P28" i="1"/>
  <c r="P29" i="1"/>
  <c r="P30" i="1"/>
  <c r="D15" i="1"/>
  <c r="C19" i="1" s="1"/>
  <c r="P21" i="1"/>
  <c r="P36" i="1"/>
  <c r="P23" i="1"/>
  <c r="P22" i="1"/>
  <c r="P41" i="1"/>
  <c r="P26" i="1"/>
  <c r="P34" i="1"/>
  <c r="P25" i="1"/>
  <c r="P31" i="1"/>
  <c r="D16" i="1"/>
  <c r="D19" i="1" s="1"/>
  <c r="C12" i="1"/>
  <c r="C11" i="1"/>
  <c r="O42" i="1" l="1"/>
  <c r="C16" i="1"/>
  <c r="D18" i="1" s="1"/>
  <c r="R19" i="1"/>
  <c r="E18" i="1" s="1"/>
  <c r="O22" i="1"/>
  <c r="O28" i="1"/>
  <c r="O37" i="1"/>
  <c r="O32" i="1"/>
  <c r="O29" i="1"/>
  <c r="O40" i="1"/>
  <c r="O26" i="1"/>
  <c r="O30" i="1"/>
  <c r="C15" i="1"/>
  <c r="O31" i="1"/>
  <c r="O38" i="1"/>
  <c r="O36" i="1"/>
  <c r="O39" i="1"/>
  <c r="O27" i="1"/>
  <c r="O24" i="1"/>
  <c r="O35" i="1"/>
  <c r="O33" i="1"/>
  <c r="O34" i="1"/>
  <c r="O21" i="1"/>
  <c r="O25" i="1"/>
  <c r="O41" i="1"/>
  <c r="O23" i="1"/>
  <c r="C18" i="1" l="1"/>
  <c r="F14" i="1"/>
  <c r="F15" i="1" s="1"/>
</calcChain>
</file>

<file path=xl/sharedStrings.xml><?xml version="1.0" encoding="utf-8"?>
<sst xmlns="http://schemas.openxmlformats.org/spreadsheetml/2006/main" count="84" uniqueCount="64">
  <si>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</si>
  <si>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</si>
  <si>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</si>
  <si>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</si>
  <si>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</si>
  <si>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</si>
  <si>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</si>
  <si>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</si>
  <si>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</si>
  <si>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</si>
  <si>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</si>
  <si>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</si>
  <si>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</si>
  <si>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</si>
  <si>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</si>
  <si>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</si>
  <si>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</si>
  <si>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</si>
  <si>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</si>
  <si>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</si>
  <si>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</si>
  <si>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</si>
  <si>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</si>
  <si>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</si>
  <si>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</si>
  <si>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</si>
  <si>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</si>
  <si>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</si>
  <si>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</si>
  <si>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</si>
  <si>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</si>
  <si>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</si>
  <si>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</si>
  <si>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</si>
  <si>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</si>
  <si>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</si>
  <si>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</si>
  <si>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</si>
  <si>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RR Lyn / GSC 03142-00494</t>
  </si>
  <si>
    <t>EA/DM</t>
  </si>
  <si>
    <t>PEREM. ZV. 18,71</t>
  </si>
  <si>
    <t>II</t>
  </si>
  <si>
    <t> AJ 82.653 </t>
  </si>
  <si>
    <t>I</t>
  </si>
  <si>
    <t>IBVS 1163</t>
  </si>
  <si>
    <t>BBSAG Bull.59</t>
  </si>
  <si>
    <t>IBVS 3408</t>
  </si>
  <si>
    <t> VSSC 72.26 </t>
  </si>
  <si>
    <t> VSSC 73 </t>
  </si>
  <si>
    <t>IBVS 3408 </t>
  </si>
  <si>
    <t>BBSAG Bull.92</t>
  </si>
  <si>
    <t>BBSAG Bull.95</t>
  </si>
  <si>
    <t>BBSAG Bull.94</t>
  </si>
  <si>
    <t>IBVS 3900</t>
  </si>
  <si>
    <t>BAV-M 93</t>
  </si>
  <si>
    <t> BBS 123 </t>
  </si>
  <si>
    <t> BBS 124 </t>
  </si>
  <si>
    <t>VSB 46 </t>
  </si>
  <si>
    <t>pg</t>
  </si>
  <si>
    <t>vis</t>
  </si>
  <si>
    <t>PE</t>
  </si>
  <si>
    <t>CCD</t>
  </si>
  <si>
    <t>BAD?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</si>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</sst>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 Unicode MS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Lyn - Prim. O-C Diagr.</a:t>
            </a:r>
          </a:p>
        </c:rich>
      </c:tx>
      <c:layout>
        <c:manualLayout>
          <c:xMode val="edge"/>
          <c:yMode val="edge"/>
          <c:x val="0.29729751556523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Active!$R$21:$R$919</c:f>
              <c:numCache>
                <c:formatCode>General</c:formatCode>
                <c:ptCount val="899"/>
                <c:pt idx="1">
                  <c:v>-3.9800000376999378E-4</c:v>
                </c:pt>
                <c:pt idx="2">
                  <c:v>4.6790000051259995E-3</c:v>
                </c:pt>
                <c:pt idx="3">
                  <c:v>-3.1229999949573539E-3</c:v>
                </c:pt>
                <c:pt idx="4">
                  <c:v>3.0500000138999894E-4</c:v>
                </c:pt>
                <c:pt idx="5">
                  <c:v>1.0373999997682404E-2</c:v>
                </c:pt>
                <c:pt idx="7">
                  <c:v>-9.0549999949871562E-3</c:v>
                </c:pt>
                <c:pt idx="16">
                  <c:v>-1.0733000002801418E-2</c:v>
                </c:pt>
                <c:pt idx="17">
                  <c:v>-4.6758000004047062E-2</c:v>
                </c:pt>
                <c:pt idx="18">
                  <c:v>1.0240000046906061E-3</c:v>
                </c:pt>
                <c:pt idx="19">
                  <c:v>-5.0820000033127144E-3</c:v>
                </c:pt>
                <c:pt idx="20">
                  <c:v>-9.5970000038505532E-3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FF-4ED5-9A5A-FDFD808D8BAA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Active!$O$21:$O$919</c:f>
              <c:numCache>
                <c:formatCode>General</c:formatCode>
                <c:ptCount val="899"/>
                <c:pt idx="0">
                  <c:v>6.3401251215400673E-3</c:v>
                </c:pt>
                <c:pt idx="1">
                  <c:v>1.2668103573038533E-3</c:v>
                </c:pt>
                <c:pt idx="2">
                  <c:v>7.5879237008669512E-4</c:v>
                </c:pt>
                <c:pt idx="3">
                  <c:v>2.3704416699880243E-4</c:v>
                </c:pt>
                <c:pt idx="4">
                  <c:v>-6.9661051221110888E-4</c:v>
                </c:pt>
                <c:pt idx="5">
                  <c:v>-3.2916213117798361E-3</c:v>
                </c:pt>
                <c:pt idx="6">
                  <c:v>-6.3191339112766837E-3</c:v>
                </c:pt>
                <c:pt idx="7">
                  <c:v>-6.7379054953340713E-3</c:v>
                </c:pt>
                <c:pt idx="8">
                  <c:v>-6.7653659270755402E-3</c:v>
                </c:pt>
                <c:pt idx="9">
                  <c:v>-6.7996914667523729E-3</c:v>
                </c:pt>
                <c:pt idx="10">
                  <c:v>-6.8752076540414091E-3</c:v>
                </c:pt>
                <c:pt idx="11">
                  <c:v>-7.1841375111329243E-3</c:v>
                </c:pt>
                <c:pt idx="12">
                  <c:v>-7.1978677270036588E-3</c:v>
                </c:pt>
                <c:pt idx="13">
                  <c:v>-7.2939792380987967E-3</c:v>
                </c:pt>
                <c:pt idx="14">
                  <c:v>-7.3008443460341639E-3</c:v>
                </c:pt>
                <c:pt idx="15">
                  <c:v>-7.3145745619048984E-3</c:v>
                </c:pt>
                <c:pt idx="16">
                  <c:v>-8.6875961489783007E-3</c:v>
                </c:pt>
                <c:pt idx="17">
                  <c:v>-1.026657097411271E-2</c:v>
                </c:pt>
                <c:pt idx="18">
                  <c:v>-1.2216261627756939E-2</c:v>
                </c:pt>
                <c:pt idx="19">
                  <c:v>-1.2408484649947215E-2</c:v>
                </c:pt>
                <c:pt idx="20">
                  <c:v>-1.6321596173106405E-2</c:v>
                </c:pt>
                <c:pt idx="21">
                  <c:v>-2.347503864175882E-2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FF-4ED5-9A5A-FDFD808D8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59896"/>
        <c:axId val="1"/>
      </c:scatterChart>
      <c:valAx>
        <c:axId val="952359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59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Lyn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4193548387096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Active!$D$21:$D$492</c:f>
                <c:numCache>
                  <c:formatCode>General</c:formatCode>
                  <c:ptCount val="472"/>
                  <c:pt idx="6">
                    <c:v>-4.8999999999999998E-4</c:v>
                  </c:pt>
                  <c:pt idx="16">
                    <c:v>2.5999999999999998E-4</c:v>
                  </c:pt>
                  <c:pt idx="21">
                    <c:v>5.0000000000000001E-3</c:v>
                  </c:pt>
                </c:numCache>
              </c:numRef>
            </c:plus>
            <c:minus>
              <c:numRef>
                <c:f>Active!$D$21:$D$492</c:f>
                <c:numCache>
                  <c:formatCode>General</c:formatCode>
                  <c:ptCount val="472"/>
                  <c:pt idx="6">
                    <c:v>-4.8999999999999998E-4</c:v>
                  </c:pt>
                  <c:pt idx="16">
                    <c:v>2.5999999999999998E-4</c:v>
                  </c:pt>
                  <c:pt idx="2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Active!$H$21:$H$919</c:f>
              <c:numCache>
                <c:formatCode>General</c:formatCode>
                <c:ptCount val="899"/>
                <c:pt idx="0">
                  <c:v>-0.49920749999728287</c:v>
                </c:pt>
                <c:pt idx="1">
                  <c:v>-3.9800000376999378E-4</c:v>
                </c:pt>
                <c:pt idx="2">
                  <c:v>4.6790000051259995E-3</c:v>
                </c:pt>
                <c:pt idx="4">
                  <c:v>3.0500000138999894E-4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F-40FC-AD11-0014BC6248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Active!$I$21:$I$919</c:f>
              <c:numCache>
                <c:formatCode>General</c:formatCode>
                <c:ptCount val="899"/>
                <c:pt idx="3">
                  <c:v>-3.1229999949573539E-3</c:v>
                </c:pt>
                <c:pt idx="5">
                  <c:v>1.0373999997682404E-2</c:v>
                </c:pt>
                <c:pt idx="6">
                  <c:v>-0.50403550000191899</c:v>
                </c:pt>
                <c:pt idx="7">
                  <c:v>-9.0549999949871562E-3</c:v>
                </c:pt>
                <c:pt idx="8">
                  <c:v>-0.14021299999876646</c:v>
                </c:pt>
                <c:pt idx="9">
                  <c:v>-0.5020105000003241</c:v>
                </c:pt>
                <c:pt idx="11">
                  <c:v>-0.50852250000025379</c:v>
                </c:pt>
                <c:pt idx="16">
                  <c:v>-1.0733000002801418E-2</c:v>
                </c:pt>
                <c:pt idx="17">
                  <c:v>-4.6758000004047062E-2</c:v>
                </c:pt>
                <c:pt idx="18">
                  <c:v>1.0240000046906061E-3</c:v>
                </c:pt>
                <c:pt idx="19">
                  <c:v>-5.0820000033127144E-3</c:v>
                </c:pt>
                <c:pt idx="20">
                  <c:v>-9.5970000038505532E-3</c:v>
                </c:pt>
                <c:pt idx="21">
                  <c:v>-1.9756000001507346E-2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F-40FC-AD11-0014BC6248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Active!$J$21:$J$919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F-40FC-AD11-0014BC6248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Active!$K$21:$K$919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F-40FC-AD11-0014BC6248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Active!$L$21:$L$919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F-40FC-AD11-0014BC6248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Active!$M$21:$M$919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F-40FC-AD11-0014BC6248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Active!$N$21:$N$919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F-40FC-AD11-0014BC6248FC}"/>
            </c:ext>
          </c:extLst>
        </c:ser>
        <c:ser>
          <c:idx val="7"/>
          <c:order val="7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Active!$U$21:$U$919</c:f>
              <c:numCache>
                <c:formatCode>General</c:formatCode>
                <c:ptCount val="899"/>
                <c:pt idx="8">
                  <c:v>-0.14021299999876646</c:v>
                </c:pt>
                <c:pt idx="10">
                  <c:v>1.5287549999993644</c:v>
                </c:pt>
                <c:pt idx="12">
                  <c:v>1.810398499997973</c:v>
                </c:pt>
                <c:pt idx="13">
                  <c:v>1.2948455000005197</c:v>
                </c:pt>
                <c:pt idx="14">
                  <c:v>-0.78069400000094902</c:v>
                </c:pt>
                <c:pt idx="15">
                  <c:v>1.2722269999940181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F-40FC-AD11-0014BC624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65800"/>
        <c:axId val="1"/>
      </c:scatterChart>
      <c:valAx>
        <c:axId val="952365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65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387096774193548"/>
          <c:y val="0.92097264437689974"/>
          <c:w val="0.41612903225806452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Lyn - Sec. O-C Diagr.</a:t>
            </a:r>
          </a:p>
        </c:rich>
      </c:tx>
      <c:layout>
        <c:manualLayout>
          <c:xMode val="edge"/>
          <c:yMode val="edge"/>
          <c:x val="0.3061226632385237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142934015200504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Active!$S$21:$S$919</c:f>
              <c:numCache>
                <c:formatCode>General</c:formatCode>
                <c:ptCount val="899"/>
                <c:pt idx="0">
                  <c:v>-0.49920749999728287</c:v>
                </c:pt>
                <c:pt idx="6">
                  <c:v>-0.50403550000191899</c:v>
                </c:pt>
                <c:pt idx="9">
                  <c:v>-0.5020105000003241</c:v>
                </c:pt>
                <c:pt idx="11">
                  <c:v>-0.50852250000025379</c:v>
                </c:pt>
                <c:pt idx="21">
                  <c:v>-1.9756000001507346E-2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6B-4613-896F-A01E27F17B32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Active!$P$21:$P$919</c:f>
              <c:numCache>
                <c:formatCode>General</c:formatCode>
                <c:ptCount val="899"/>
                <c:pt idx="0">
                  <c:v>-0.64322923027235412</c:v>
                </c:pt>
                <c:pt idx="1">
                  <c:v>-0.55645017577375444</c:v>
                </c:pt>
                <c:pt idx="2">
                  <c:v>-0.54776052755603266</c:v>
                </c:pt>
                <c:pt idx="3">
                  <c:v>-0.53883602398107522</c:v>
                </c:pt>
                <c:pt idx="4">
                  <c:v>-0.52286585968904609</c:v>
                </c:pt>
                <c:pt idx="5">
                  <c:v>-0.47847819717149437</c:v>
                </c:pt>
                <c:pt idx="6">
                  <c:v>-0.42669259090101741</c:v>
                </c:pt>
                <c:pt idx="7">
                  <c:v>-0.41952950250532789</c:v>
                </c:pt>
                <c:pt idx="8">
                  <c:v>-0.41905979179085645</c:v>
                </c:pt>
                <c:pt idx="9">
                  <c:v>-0.41847265339776712</c:v>
                </c:pt>
                <c:pt idx="10">
                  <c:v>-0.41718094893297064</c:v>
                </c:pt>
                <c:pt idx="11">
                  <c:v>-0.41189670339516687</c:v>
                </c:pt>
                <c:pt idx="12">
                  <c:v>-0.41166184803793116</c:v>
                </c:pt>
                <c:pt idx="13">
                  <c:v>-0.41001786053728112</c:v>
                </c:pt>
                <c:pt idx="14">
                  <c:v>-0.40990043285866323</c:v>
                </c:pt>
                <c:pt idx="15">
                  <c:v>-0.40966557750142751</c:v>
                </c:pt>
                <c:pt idx="16">
                  <c:v>-0.3861800417778552</c:v>
                </c:pt>
                <c:pt idx="17">
                  <c:v>-0.35917167569574704</c:v>
                </c:pt>
                <c:pt idx="18">
                  <c:v>-0.32582221496827435</c:v>
                </c:pt>
                <c:pt idx="19">
                  <c:v>-0.32253423996697422</c:v>
                </c:pt>
                <c:pt idx="20">
                  <c:v>-0.25560046315479312</c:v>
                </c:pt>
                <c:pt idx="21">
                  <c:v>-0.13324082203498144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6B-4613-896F-A01E27F1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76296"/>
        <c:axId val="1"/>
      </c:scatterChart>
      <c:valAx>
        <c:axId val="95237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718570892924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"/>
          <c:min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7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3716321174139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Lyn - O-C Diagr.</a:t>
            </a:r>
          </a:p>
        </c:rich>
      </c:tx>
      <c:layout>
        <c:manualLayout>
          <c:xMode val="edge"/>
          <c:yMode val="edge"/>
          <c:x val="0.37681227044687043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3498772611545"/>
          <c:y val="0.14545497589659059"/>
          <c:w val="0.82447794710828537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Active!$D$21:$D$492</c:f>
                <c:numCache>
                  <c:formatCode>General</c:formatCode>
                  <c:ptCount val="472"/>
                  <c:pt idx="6">
                    <c:v>-4.8999999999999998E-4</c:v>
                  </c:pt>
                  <c:pt idx="16">
                    <c:v>2.5999999999999998E-4</c:v>
                  </c:pt>
                  <c:pt idx="21">
                    <c:v>5.0000000000000001E-3</c:v>
                  </c:pt>
                </c:numCache>
              </c:numRef>
            </c:plus>
            <c:minus>
              <c:numRef>
                <c:f>Active!$D$21:$D$492</c:f>
                <c:numCache>
                  <c:formatCode>General</c:formatCode>
                  <c:ptCount val="472"/>
                  <c:pt idx="6">
                    <c:v>-4.8999999999999998E-4</c:v>
                  </c:pt>
                  <c:pt idx="16">
                    <c:v>2.5999999999999998E-4</c:v>
                  </c:pt>
                  <c:pt idx="2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Active!$H$21:$H$919</c:f>
              <c:numCache>
                <c:formatCode>General</c:formatCode>
                <c:ptCount val="899"/>
                <c:pt idx="0">
                  <c:v>-0.49920749999728287</c:v>
                </c:pt>
                <c:pt idx="1">
                  <c:v>-3.9800000376999378E-4</c:v>
                </c:pt>
                <c:pt idx="2">
                  <c:v>4.6790000051259995E-3</c:v>
                </c:pt>
                <c:pt idx="4">
                  <c:v>3.0500000138999894E-4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20-4B63-9B02-9E37A6CE9C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Active!$I$21:$I$919</c:f>
              <c:numCache>
                <c:formatCode>General</c:formatCode>
                <c:ptCount val="899"/>
                <c:pt idx="3">
                  <c:v>-3.1229999949573539E-3</c:v>
                </c:pt>
                <c:pt idx="5">
                  <c:v>1.0373999997682404E-2</c:v>
                </c:pt>
                <c:pt idx="6">
                  <c:v>-0.50403550000191899</c:v>
                </c:pt>
                <c:pt idx="7">
                  <c:v>-9.0549999949871562E-3</c:v>
                </c:pt>
                <c:pt idx="8">
                  <c:v>-0.14021299999876646</c:v>
                </c:pt>
                <c:pt idx="9">
                  <c:v>-0.5020105000003241</c:v>
                </c:pt>
                <c:pt idx="11">
                  <c:v>-0.50852250000025379</c:v>
                </c:pt>
                <c:pt idx="16">
                  <c:v>-1.0733000002801418E-2</c:v>
                </c:pt>
                <c:pt idx="17">
                  <c:v>-4.6758000004047062E-2</c:v>
                </c:pt>
                <c:pt idx="18">
                  <c:v>1.0240000046906061E-3</c:v>
                </c:pt>
                <c:pt idx="19">
                  <c:v>-5.0820000033127144E-3</c:v>
                </c:pt>
                <c:pt idx="20">
                  <c:v>-9.5970000038505532E-3</c:v>
                </c:pt>
                <c:pt idx="21">
                  <c:v>-1.9756000001507346E-2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20-4B63-9B02-9E37A6CE9C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Active!$J$21:$J$919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20-4B63-9B02-9E37A6CE9C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Active!$K$21:$K$919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20-4B63-9B02-9E37A6CE9C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Active!$L$21:$L$919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20-4B63-9B02-9E37A6CE9C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Active!$M$21:$M$919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20-4B63-9B02-9E37A6CE9C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Active!$N$21:$N$919</c:f>
              <c:numCache>
                <c:formatCode>General</c:formatCode>
                <c:ptCount val="8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20-4B63-9B02-9E37A6CE9CD5}"/>
            </c:ext>
          </c:extLst>
        </c:ser>
        <c:ser>
          <c:idx val="7"/>
          <c:order val="7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Active!$U$21:$U$919</c:f>
              <c:numCache>
                <c:formatCode>General</c:formatCode>
                <c:ptCount val="899"/>
                <c:pt idx="8">
                  <c:v>-0.14021299999876646</c:v>
                </c:pt>
                <c:pt idx="10">
                  <c:v>1.5287549999993644</c:v>
                </c:pt>
                <c:pt idx="12">
                  <c:v>1.810398499997973</c:v>
                </c:pt>
                <c:pt idx="13">
                  <c:v>1.2948455000005197</c:v>
                </c:pt>
                <c:pt idx="14">
                  <c:v>-0.78069400000094902</c:v>
                </c:pt>
                <c:pt idx="15">
                  <c:v>1.2722269999940181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20-4B63-9B02-9E37A6CE9CD5}"/>
            </c:ext>
          </c:extLst>
        </c:ser>
        <c:ser>
          <c:idx val="8"/>
          <c:order val="8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Active!$O$21:$O$919</c:f>
              <c:numCache>
                <c:formatCode>General</c:formatCode>
                <c:ptCount val="899"/>
                <c:pt idx="0">
                  <c:v>6.3401251215400673E-3</c:v>
                </c:pt>
                <c:pt idx="1">
                  <c:v>1.2668103573038533E-3</c:v>
                </c:pt>
                <c:pt idx="2">
                  <c:v>7.5879237008669512E-4</c:v>
                </c:pt>
                <c:pt idx="3">
                  <c:v>2.3704416699880243E-4</c:v>
                </c:pt>
                <c:pt idx="4">
                  <c:v>-6.9661051221110888E-4</c:v>
                </c:pt>
                <c:pt idx="5">
                  <c:v>-3.2916213117798361E-3</c:v>
                </c:pt>
                <c:pt idx="6">
                  <c:v>-6.3191339112766837E-3</c:v>
                </c:pt>
                <c:pt idx="7">
                  <c:v>-6.7379054953340713E-3</c:v>
                </c:pt>
                <c:pt idx="8">
                  <c:v>-6.7653659270755402E-3</c:v>
                </c:pt>
                <c:pt idx="9">
                  <c:v>-6.7996914667523729E-3</c:v>
                </c:pt>
                <c:pt idx="10">
                  <c:v>-6.8752076540414091E-3</c:v>
                </c:pt>
                <c:pt idx="11">
                  <c:v>-7.1841375111329243E-3</c:v>
                </c:pt>
                <c:pt idx="12">
                  <c:v>-7.1978677270036588E-3</c:v>
                </c:pt>
                <c:pt idx="13">
                  <c:v>-7.2939792380987967E-3</c:v>
                </c:pt>
                <c:pt idx="14">
                  <c:v>-7.3008443460341639E-3</c:v>
                </c:pt>
                <c:pt idx="15">
                  <c:v>-7.3145745619048984E-3</c:v>
                </c:pt>
                <c:pt idx="16">
                  <c:v>-8.6875961489783007E-3</c:v>
                </c:pt>
                <c:pt idx="17">
                  <c:v>-1.026657097411271E-2</c:v>
                </c:pt>
                <c:pt idx="18">
                  <c:v>-1.2216261627756939E-2</c:v>
                </c:pt>
                <c:pt idx="19">
                  <c:v>-1.2408484649947215E-2</c:v>
                </c:pt>
                <c:pt idx="20">
                  <c:v>-1.6321596173106405E-2</c:v>
                </c:pt>
                <c:pt idx="21">
                  <c:v>-2.347503864175882E-2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20-4B63-9B02-9E37A6CE9CD5}"/>
            </c:ext>
          </c:extLst>
        </c:ser>
        <c:ser>
          <c:idx val="9"/>
          <c:order val="9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Active!$F$21:$F$919</c:f>
              <c:numCache>
                <c:formatCode>General</c:formatCode>
                <c:ptCount val="899"/>
                <c:pt idx="0">
                  <c:v>492.5</c:v>
                </c:pt>
                <c:pt idx="1">
                  <c:v>862</c:v>
                </c:pt>
                <c:pt idx="2">
                  <c:v>899</c:v>
                </c:pt>
                <c:pt idx="3">
                  <c:v>937</c:v>
                </c:pt>
                <c:pt idx="4">
                  <c:v>1005</c:v>
                </c:pt>
                <c:pt idx="5">
                  <c:v>1194</c:v>
                </c:pt>
                <c:pt idx="6">
                  <c:v>1414.5</c:v>
                </c:pt>
                <c:pt idx="7">
                  <c:v>1445</c:v>
                </c:pt>
                <c:pt idx="8">
                  <c:v>1447</c:v>
                </c:pt>
                <c:pt idx="9">
                  <c:v>1449.5</c:v>
                </c:pt>
                <c:pt idx="10">
                  <c:v>1455</c:v>
                </c:pt>
                <c:pt idx="11">
                  <c:v>1477.5</c:v>
                </c:pt>
                <c:pt idx="12">
                  <c:v>1478.5</c:v>
                </c:pt>
                <c:pt idx="13">
                  <c:v>1485.5</c:v>
                </c:pt>
                <c:pt idx="14">
                  <c:v>1486</c:v>
                </c:pt>
                <c:pt idx="15">
                  <c:v>1487</c:v>
                </c:pt>
                <c:pt idx="16">
                  <c:v>1587</c:v>
                </c:pt>
                <c:pt idx="17">
                  <c:v>1702</c:v>
                </c:pt>
                <c:pt idx="18">
                  <c:v>1844</c:v>
                </c:pt>
                <c:pt idx="19">
                  <c:v>1858</c:v>
                </c:pt>
                <c:pt idx="20">
                  <c:v>2143</c:v>
                </c:pt>
                <c:pt idx="21">
                  <c:v>2664</c:v>
                </c:pt>
              </c:numCache>
            </c:numRef>
          </c:xVal>
          <c:yVal>
            <c:numRef>
              <c:f>Active!$P$21:$P$919</c:f>
              <c:numCache>
                <c:formatCode>General</c:formatCode>
                <c:ptCount val="899"/>
                <c:pt idx="0">
                  <c:v>-0.64322923027235412</c:v>
                </c:pt>
                <c:pt idx="1">
                  <c:v>-0.55645017577375444</c:v>
                </c:pt>
                <c:pt idx="2">
                  <c:v>-0.54776052755603266</c:v>
                </c:pt>
                <c:pt idx="3">
                  <c:v>-0.53883602398107522</c:v>
                </c:pt>
                <c:pt idx="4">
                  <c:v>-0.52286585968904609</c:v>
                </c:pt>
                <c:pt idx="5">
                  <c:v>-0.47847819717149437</c:v>
                </c:pt>
                <c:pt idx="6">
                  <c:v>-0.42669259090101741</c:v>
                </c:pt>
                <c:pt idx="7">
                  <c:v>-0.41952950250532789</c:v>
                </c:pt>
                <c:pt idx="8">
                  <c:v>-0.41905979179085645</c:v>
                </c:pt>
                <c:pt idx="9">
                  <c:v>-0.41847265339776712</c:v>
                </c:pt>
                <c:pt idx="10">
                  <c:v>-0.41718094893297064</c:v>
                </c:pt>
                <c:pt idx="11">
                  <c:v>-0.41189670339516687</c:v>
                </c:pt>
                <c:pt idx="12">
                  <c:v>-0.41166184803793116</c:v>
                </c:pt>
                <c:pt idx="13">
                  <c:v>-0.41001786053728112</c:v>
                </c:pt>
                <c:pt idx="14">
                  <c:v>-0.40990043285866323</c:v>
                </c:pt>
                <c:pt idx="15">
                  <c:v>-0.40966557750142751</c:v>
                </c:pt>
                <c:pt idx="16">
                  <c:v>-0.3861800417778552</c:v>
                </c:pt>
                <c:pt idx="17">
                  <c:v>-0.35917167569574704</c:v>
                </c:pt>
                <c:pt idx="18">
                  <c:v>-0.32582221496827435</c:v>
                </c:pt>
                <c:pt idx="19">
                  <c:v>-0.32253423996697422</c:v>
                </c:pt>
                <c:pt idx="20">
                  <c:v>-0.25560046315479312</c:v>
                </c:pt>
                <c:pt idx="21">
                  <c:v>-0.13324082203498144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20-4B63-9B02-9E37A6CE9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70720"/>
        <c:axId val="1"/>
      </c:scatterChart>
      <c:valAx>
        <c:axId val="952370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97573974751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70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177302716387492E-2"/>
          <c:y val="0.92121498449057504"/>
          <c:w val="0.90338299500002106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1D19362-C6F5-38C8-574D-297CFAD7A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257175</xdr:colOff>
      <xdr:row>0</xdr:row>
      <xdr:rowOff>0</xdr:rowOff>
    </xdr:from>
    <xdr:to>
      <xdr:col>29</xdr:col>
      <xdr:colOff>676275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4A24E6F8-F6BF-B5C2-6FCB-47835D5B4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0</xdr:row>
      <xdr:rowOff>0</xdr:rowOff>
    </xdr:from>
    <xdr:to>
      <xdr:col>21</xdr:col>
      <xdr:colOff>238125</xdr:colOff>
      <xdr:row>18</xdr:row>
      <xdr:rowOff>47625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01E76DB7-A114-8E1C-8E82-2E704D7DD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21</xdr:row>
      <xdr:rowOff>0</xdr:rowOff>
    </xdr:from>
    <xdr:to>
      <xdr:col>29</xdr:col>
      <xdr:colOff>428625</xdr:colOff>
      <xdr:row>40</xdr:row>
      <xdr:rowOff>66675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803A42CD-B78F-1AB4-0E3C-B0C697B1D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F7" sqref="F7"/>
    </sheetView>
  </sheetViews>
  <sheetFormatPr defaultColWidth="10.28515625" defaultRowHeight="12.75"/>
  <cols>
    <col min="1" max="1" width="14.42578125" customWidth="1"/>
    <col min="2" max="2" width="3.85546875" customWidth="1"/>
    <col min="3" max="3" width="12.140625" customWidth="1"/>
    <col min="4" max="4" width="8.28515625" customWidth="1"/>
    <col min="5" max="5" width="9.42578125" customWidth="1"/>
    <col min="6" max="6" width="16.28515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</row>
    <row r="2" spans="1:6">
      <c r="A2" t="s">
        <v>16</v>
      </c>
      <c r="B2" s="10" t="s">
        <v>39</v>
      </c>
    </row>
    <row r="3" spans="1:6" ht="13.5" thickBot="1"/>
    <row r="4" spans="1:6" ht="14.25" thickTop="1" thickBot="1">
      <c r="A4" s="6" t="s">
        <v>0</v>
      </c>
      <c r="C4" s="3">
        <v>33153.862300000001</v>
      </c>
      <c r="D4" s="4">
        <v>9.9450789999999998</v>
      </c>
    </row>
    <row r="5" spans="1:6" ht="13.5" thickTop="1">
      <c r="A5" s="20" t="s">
        <v>30</v>
      </c>
      <c r="B5" s="14"/>
      <c r="C5" s="21">
        <v>-9.5</v>
      </c>
      <c r="D5" s="14" t="s">
        <v>31</v>
      </c>
    </row>
    <row r="6" spans="1:6">
      <c r="A6" s="6" t="s">
        <v>1</v>
      </c>
    </row>
    <row r="7" spans="1:6">
      <c r="A7" t="s">
        <v>2</v>
      </c>
      <c r="C7">
        <f>+C4</f>
        <v>33153.862300000001</v>
      </c>
    </row>
    <row r="8" spans="1:6">
      <c r="A8" t="s">
        <v>3</v>
      </c>
      <c r="C8">
        <f>+D4</f>
        <v>9.9450789999999998</v>
      </c>
    </row>
    <row r="9" spans="1:6">
      <c r="A9" s="12" t="s">
        <v>27</v>
      </c>
      <c r="B9" s="12"/>
      <c r="C9" s="13">
        <v>21</v>
      </c>
      <c r="D9" s="13">
        <v>21</v>
      </c>
    </row>
    <row r="10" spans="1:6" ht="13.5" thickBot="1">
      <c r="A10" s="14"/>
      <c r="B10" s="14"/>
      <c r="C10" s="5" t="s">
        <v>18</v>
      </c>
      <c r="D10" s="5" t="s">
        <v>19</v>
      </c>
    </row>
    <row r="11" spans="1:6">
      <c r="A11" s="14" t="s">
        <v>13</v>
      </c>
      <c r="B11" s="14"/>
      <c r="C11" s="15">
        <f ca="1">INTERCEPT(INDIRECT(C14):R$933,INDIRECT(C13):$F$933)</f>
        <v>1.3102256437876564E-2</v>
      </c>
      <c r="D11" s="15">
        <f ca="1">INTERCEPT(INDIRECT(D14):S$933,INDIRECT(D13):$F$933)</f>
        <v>-0.75889549371094778</v>
      </c>
      <c r="E11" s="12" t="s">
        <v>33</v>
      </c>
      <c r="F11">
        <v>1</v>
      </c>
    </row>
    <row r="12" spans="1:6">
      <c r="A12" s="14" t="s">
        <v>14</v>
      </c>
      <c r="B12" s="14"/>
      <c r="C12" s="15">
        <f ca="1">SLOPE(INDIRECT(C14):R$933,INDIRECT(C13):$F$933)</f>
        <v>-1.3730215870734004E-5</v>
      </c>
      <c r="D12" s="15">
        <f ca="1">SLOPE(INDIRECT(D14):S$933,INDIRECT(D13):$F$933)</f>
        <v>2.3485535723572311E-4</v>
      </c>
      <c r="E12" s="12" t="s">
        <v>34</v>
      </c>
      <c r="F12" s="22">
        <f ca="1">NOW()+15018.5+$C$5/24</f>
        <v>59961.814431250001</v>
      </c>
    </row>
    <row r="13" spans="1:6">
      <c r="A13" s="12" t="s">
        <v>28</v>
      </c>
      <c r="B13" s="12"/>
      <c r="C13" s="13" t="str">
        <f>"F"&amp;C9</f>
        <v>F21</v>
      </c>
      <c r="D13" s="13" t="str">
        <f>"F"&amp;D9</f>
        <v>F21</v>
      </c>
      <c r="E13" s="12" t="s">
        <v>35</v>
      </c>
      <c r="F13" s="22">
        <f ca="1">ROUND(2*(F12-$C$7)/$C$8,0)/2+F11</f>
        <v>2696.5</v>
      </c>
    </row>
    <row r="14" spans="1:6">
      <c r="A14" s="12" t="s">
        <v>29</v>
      </c>
      <c r="B14" s="12"/>
      <c r="C14" s="13" t="str">
        <f>"R"&amp;C9</f>
        <v>R21</v>
      </c>
      <c r="D14" s="13" t="str">
        <f>"S"&amp;D9</f>
        <v>S21</v>
      </c>
      <c r="E14" s="12" t="s">
        <v>36</v>
      </c>
      <c r="F14" s="23">
        <f ca="1">ROUND(2*(F12-$C$15)/$C$16,0)/2+F11</f>
        <v>32.5</v>
      </c>
    </row>
    <row r="15" spans="1:6">
      <c r="A15" s="16" t="s">
        <v>15</v>
      </c>
      <c r="B15" s="14"/>
      <c r="C15" s="17">
        <f ca="1">($C7+C11)+($C8+C12)*INT(MAX($F21:$F3531))</f>
        <v>59647.52928096136</v>
      </c>
      <c r="D15" s="17">
        <f ca="1">($C7+D11)+($C8+D12)*INT(MAX($F21:$F3531))</f>
        <v>59647.419515177971</v>
      </c>
      <c r="E15" s="12" t="s">
        <v>37</v>
      </c>
      <c r="F15" s="24">
        <f ca="1">+$C$15+$C$16*F14-15018.5-$C$5/24</f>
        <v>44952.639735562683</v>
      </c>
    </row>
    <row r="16" spans="1:6">
      <c r="A16" s="18" t="s">
        <v>4</v>
      </c>
      <c r="B16" s="14"/>
      <c r="C16" s="19">
        <f ca="1">+$C8+C12</f>
        <v>9.9450652697841289</v>
      </c>
      <c r="D16" s="15">
        <f ca="1">+$C8+D12</f>
        <v>9.9453138553572362</v>
      </c>
      <c r="E16" s="25"/>
      <c r="F16" s="25" t="s">
        <v>32</v>
      </c>
    </row>
    <row r="17" spans="1:21" ht="13.5" thickBot="1">
      <c r="A17" s="11" t="s">
        <v>26</v>
      </c>
      <c r="C17">
        <f>COUNT(C21:C1245)</f>
        <v>22</v>
      </c>
    </row>
    <row r="18" spans="1:21" ht="14.25" thickTop="1" thickBot="1">
      <c r="A18" s="6" t="s">
        <v>21</v>
      </c>
      <c r="C18" s="3">
        <f ca="1">+C15</f>
        <v>59647.52928096136</v>
      </c>
      <c r="D18" s="4">
        <f ca="1">+C16</f>
        <v>9.9450652697841289</v>
      </c>
      <c r="E18" s="26">
        <f>R19</f>
        <v>11</v>
      </c>
    </row>
    <row r="19" spans="1:21" ht="14.25" thickTop="1" thickBot="1">
      <c r="A19" s="6" t="s">
        <v>22</v>
      </c>
      <c r="C19" s="3">
        <f ca="1">+D15</f>
        <v>59647.419515177971</v>
      </c>
      <c r="D19" s="4">
        <f ca="1">+D16</f>
        <v>9.9453138553572362</v>
      </c>
      <c r="E19" s="26">
        <f>S19</f>
        <v>5</v>
      </c>
      <c r="R19">
        <f>COUNT(R21:R320)</f>
        <v>11</v>
      </c>
      <c r="S19">
        <f>COUNT(S21:S320)</f>
        <v>5</v>
      </c>
    </row>
    <row r="20" spans="1:21" ht="14.25" thickTop="1" thickBot="1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58</v>
      </c>
      <c r="I20" s="8" t="s">
        <v>59</v>
      </c>
      <c r="J20" s="8" t="s">
        <v>60</v>
      </c>
      <c r="K20" s="8" t="s">
        <v>61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9" t="s">
        <v>18</v>
      </c>
      <c r="S20" s="9" t="s">
        <v>19</v>
      </c>
      <c r="T20" s="37" t="s">
        <v>62</v>
      </c>
      <c r="U20" s="37" t="s">
        <v>62</v>
      </c>
    </row>
    <row r="21" spans="1:21">
      <c r="A21" s="27" t="s">
        <v>40</v>
      </c>
      <c r="B21" s="27" t="s">
        <v>41</v>
      </c>
      <c r="C21" s="28">
        <v>38051.3145</v>
      </c>
      <c r="D21" s="29"/>
      <c r="E21" s="27">
        <f t="shared" ref="E21:E41" si="0">+(C21-C$7)/C$8</f>
        <v>492.44980356616571</v>
      </c>
      <c r="F21">
        <f t="shared" ref="F21:F41" si="1">ROUND(2*E21,0)/2</f>
        <v>492.5</v>
      </c>
      <c r="G21">
        <f t="shared" ref="G21:G30" si="2">+C21-(C$7+F21*C$8)</f>
        <v>-0.49920749999728287</v>
      </c>
      <c r="H21">
        <f>+G21</f>
        <v>-0.49920749999728287</v>
      </c>
      <c r="O21">
        <f t="shared" ref="O21:O41" ca="1" si="3">+C$11+C$12*$F21</f>
        <v>6.3401251215400673E-3</v>
      </c>
      <c r="P21">
        <f t="shared" ref="P21:P41" ca="1" si="4">+D$11+D$12*$F21</f>
        <v>-0.64322923027235412</v>
      </c>
      <c r="Q21" s="2">
        <f t="shared" ref="Q21:Q41" si="5">+C21-15018.5</f>
        <v>23032.8145</v>
      </c>
      <c r="S21">
        <f>G21</f>
        <v>-0.49920749999728287</v>
      </c>
    </row>
    <row r="22" spans="1:21">
      <c r="A22" s="30" t="s">
        <v>42</v>
      </c>
      <c r="B22" s="31" t="s">
        <v>43</v>
      </c>
      <c r="C22" s="32">
        <v>41726.519999999997</v>
      </c>
      <c r="D22" s="33"/>
      <c r="E22" s="27">
        <f t="shared" si="0"/>
        <v>861.99995998020688</v>
      </c>
      <c r="F22">
        <f t="shared" si="1"/>
        <v>862</v>
      </c>
      <c r="G22">
        <f t="shared" si="2"/>
        <v>-3.9800000376999378E-4</v>
      </c>
      <c r="H22">
        <f>G22</f>
        <v>-3.9800000376999378E-4</v>
      </c>
      <c r="O22">
        <f t="shared" ca="1" si="3"/>
        <v>1.2668103573038533E-3</v>
      </c>
      <c r="P22">
        <f t="shared" ca="1" si="4"/>
        <v>-0.55645017577375444</v>
      </c>
      <c r="Q22" s="2">
        <f t="shared" si="5"/>
        <v>26708.019999999997</v>
      </c>
      <c r="R22">
        <f>G22</f>
        <v>-3.9800000376999378E-4</v>
      </c>
    </row>
    <row r="23" spans="1:21">
      <c r="A23" s="30" t="s">
        <v>42</v>
      </c>
      <c r="B23" s="31" t="s">
        <v>43</v>
      </c>
      <c r="C23" s="32">
        <v>42094.493000000002</v>
      </c>
      <c r="D23" s="33"/>
      <c r="E23" s="27">
        <f t="shared" si="0"/>
        <v>899.00047048394504</v>
      </c>
      <c r="F23">
        <f t="shared" si="1"/>
        <v>899</v>
      </c>
      <c r="G23">
        <f t="shared" si="2"/>
        <v>4.6790000051259995E-3</v>
      </c>
      <c r="H23">
        <f>G23</f>
        <v>4.6790000051259995E-3</v>
      </c>
      <c r="O23">
        <f t="shared" ca="1" si="3"/>
        <v>7.5879237008669512E-4</v>
      </c>
      <c r="P23">
        <f t="shared" ca="1" si="4"/>
        <v>-0.54776052755603266</v>
      </c>
      <c r="Q23" s="2">
        <f t="shared" si="5"/>
        <v>27075.993000000002</v>
      </c>
      <c r="R23">
        <f>G23</f>
        <v>4.6790000051259995E-3</v>
      </c>
    </row>
    <row r="24" spans="1:21">
      <c r="A24" s="27" t="s">
        <v>44</v>
      </c>
      <c r="B24" s="27"/>
      <c r="C24" s="28">
        <v>42472.398200000003</v>
      </c>
      <c r="D24" s="29"/>
      <c r="E24" s="27">
        <f t="shared" si="0"/>
        <v>936.99968597534553</v>
      </c>
      <c r="F24">
        <f t="shared" si="1"/>
        <v>937</v>
      </c>
      <c r="G24">
        <f t="shared" si="2"/>
        <v>-3.1229999949573539E-3</v>
      </c>
      <c r="I24">
        <f>G24</f>
        <v>-3.1229999949573539E-3</v>
      </c>
      <c r="O24">
        <f t="shared" ca="1" si="3"/>
        <v>2.3704416699880243E-4</v>
      </c>
      <c r="P24">
        <f t="shared" ca="1" si="4"/>
        <v>-0.53883602398107522</v>
      </c>
      <c r="Q24" s="2">
        <f t="shared" si="5"/>
        <v>27453.898200000003</v>
      </c>
      <c r="R24">
        <f>G24</f>
        <v>-3.1229999949573539E-3</v>
      </c>
    </row>
    <row r="25" spans="1:21">
      <c r="A25" s="30" t="s">
        <v>42</v>
      </c>
      <c r="B25" s="31" t="s">
        <v>43</v>
      </c>
      <c r="C25" s="32">
        <v>43148.667000000001</v>
      </c>
      <c r="D25" s="33"/>
      <c r="E25" s="27">
        <f t="shared" si="0"/>
        <v>1005.0000306684342</v>
      </c>
      <c r="F25">
        <f t="shared" si="1"/>
        <v>1005</v>
      </c>
      <c r="G25">
        <f t="shared" si="2"/>
        <v>3.0500000138999894E-4</v>
      </c>
      <c r="H25">
        <f>G25</f>
        <v>3.0500000138999894E-4</v>
      </c>
      <c r="O25">
        <f t="shared" ca="1" si="3"/>
        <v>-6.9661051221110888E-4</v>
      </c>
      <c r="P25">
        <f t="shared" ca="1" si="4"/>
        <v>-0.52286585968904609</v>
      </c>
      <c r="Q25" s="2">
        <f t="shared" si="5"/>
        <v>28130.167000000001</v>
      </c>
      <c r="R25">
        <f>G25</f>
        <v>3.0500000138999894E-4</v>
      </c>
    </row>
    <row r="26" spans="1:21">
      <c r="A26" s="27" t="s">
        <v>45</v>
      </c>
      <c r="B26" s="27"/>
      <c r="C26" s="28">
        <v>45028.296999999999</v>
      </c>
      <c r="D26" s="29"/>
      <c r="E26" s="27">
        <f t="shared" si="0"/>
        <v>1194.0010431289684</v>
      </c>
      <c r="F26">
        <f t="shared" si="1"/>
        <v>1194</v>
      </c>
      <c r="G26">
        <f t="shared" si="2"/>
        <v>1.0373999997682404E-2</v>
      </c>
      <c r="I26">
        <f>G26</f>
        <v>1.0373999997682404E-2</v>
      </c>
      <c r="O26">
        <f t="shared" ca="1" si="3"/>
        <v>-3.2916213117798361E-3</v>
      </c>
      <c r="P26">
        <f t="shared" ca="1" si="4"/>
        <v>-0.47847819717149437</v>
      </c>
      <c r="Q26" s="2">
        <f t="shared" si="5"/>
        <v>30009.796999999999</v>
      </c>
      <c r="R26">
        <f>G26</f>
        <v>1.0373999997682404E-2</v>
      </c>
    </row>
    <row r="27" spans="1:21">
      <c r="A27" s="34" t="s">
        <v>46</v>
      </c>
      <c r="B27" s="35" t="s">
        <v>41</v>
      </c>
      <c r="C27" s="36">
        <v>47220.672509999997</v>
      </c>
      <c r="D27" s="36">
        <v>-4.8999999999999998E-4</v>
      </c>
      <c r="E27" s="27">
        <f t="shared" si="0"/>
        <v>1414.4493180999364</v>
      </c>
      <c r="F27">
        <f t="shared" si="1"/>
        <v>1414.5</v>
      </c>
      <c r="G27">
        <f t="shared" si="2"/>
        <v>-0.50403550000191899</v>
      </c>
      <c r="I27">
        <f>G27</f>
        <v>-0.50403550000191899</v>
      </c>
      <c r="O27">
        <f t="shared" ca="1" si="3"/>
        <v>-6.3191339112766837E-3</v>
      </c>
      <c r="P27">
        <f t="shared" ca="1" si="4"/>
        <v>-0.42669259090101741</v>
      </c>
      <c r="Q27" s="2">
        <f t="shared" si="5"/>
        <v>32202.172509999997</v>
      </c>
      <c r="S27">
        <f>G27</f>
        <v>-0.50403550000191899</v>
      </c>
    </row>
    <row r="28" spans="1:21">
      <c r="A28" s="30" t="s">
        <v>47</v>
      </c>
      <c r="B28" s="31" t="s">
        <v>43</v>
      </c>
      <c r="C28" s="32">
        <v>47524.492400000003</v>
      </c>
      <c r="D28" s="33"/>
      <c r="E28" s="27">
        <f t="shared" si="0"/>
        <v>1444.9990894994401</v>
      </c>
      <c r="F28">
        <f t="shared" si="1"/>
        <v>1445</v>
      </c>
      <c r="G28">
        <f t="shared" si="2"/>
        <v>-9.0549999949871562E-3</v>
      </c>
      <c r="I28">
        <f>G28</f>
        <v>-9.0549999949871562E-3</v>
      </c>
      <c r="O28">
        <f t="shared" ca="1" si="3"/>
        <v>-6.7379054953340713E-3</v>
      </c>
      <c r="P28">
        <f t="shared" ca="1" si="4"/>
        <v>-0.41952950250532789</v>
      </c>
      <c r="Q28" s="2">
        <f t="shared" si="5"/>
        <v>32505.992400000003</v>
      </c>
      <c r="R28">
        <f>G28</f>
        <v>-9.0549999949871562E-3</v>
      </c>
    </row>
    <row r="29" spans="1:21">
      <c r="A29" s="30" t="s">
        <v>48</v>
      </c>
      <c r="B29" s="31" t="s">
        <v>43</v>
      </c>
      <c r="C29" s="32">
        <v>47544.251400000001</v>
      </c>
      <c r="D29" s="33"/>
      <c r="E29" s="27">
        <f t="shared" si="0"/>
        <v>1446.985901268356</v>
      </c>
      <c r="F29">
        <f t="shared" si="1"/>
        <v>1447</v>
      </c>
      <c r="G29">
        <f t="shared" si="2"/>
        <v>-0.14021299999876646</v>
      </c>
      <c r="I29">
        <f>G29</f>
        <v>-0.14021299999876646</v>
      </c>
      <c r="O29">
        <f t="shared" ca="1" si="3"/>
        <v>-6.7653659270755402E-3</v>
      </c>
      <c r="P29">
        <f t="shared" ca="1" si="4"/>
        <v>-0.41905979179085645</v>
      </c>
      <c r="Q29" s="2">
        <f t="shared" si="5"/>
        <v>32525.751400000001</v>
      </c>
      <c r="U29">
        <f>G29</f>
        <v>-0.14021299999876646</v>
      </c>
    </row>
    <row r="30" spans="1:21">
      <c r="A30" s="30" t="s">
        <v>49</v>
      </c>
      <c r="B30" s="31" t="s">
        <v>41</v>
      </c>
      <c r="C30" s="32">
        <v>47568.7523</v>
      </c>
      <c r="D30" s="33"/>
      <c r="E30" s="27">
        <f t="shared" si="0"/>
        <v>1449.4495217182287</v>
      </c>
      <c r="F30">
        <f t="shared" si="1"/>
        <v>1449.5</v>
      </c>
      <c r="G30">
        <f t="shared" si="2"/>
        <v>-0.5020105000003241</v>
      </c>
      <c r="I30">
        <f>G30</f>
        <v>-0.5020105000003241</v>
      </c>
      <c r="O30">
        <f t="shared" ca="1" si="3"/>
        <v>-6.7996914667523729E-3</v>
      </c>
      <c r="P30">
        <f t="shared" ca="1" si="4"/>
        <v>-0.41847265339776712</v>
      </c>
      <c r="Q30" s="2">
        <f t="shared" si="5"/>
        <v>32550.2523</v>
      </c>
      <c r="S30">
        <f>G30</f>
        <v>-0.5020105000003241</v>
      </c>
    </row>
    <row r="31" spans="1:21">
      <c r="A31" s="27" t="s">
        <v>50</v>
      </c>
      <c r="B31" s="27"/>
      <c r="C31" s="28">
        <v>47625.481</v>
      </c>
      <c r="D31" s="29"/>
      <c r="E31" s="27">
        <f t="shared" si="0"/>
        <v>1455.1537197442071</v>
      </c>
      <c r="F31">
        <f t="shared" si="1"/>
        <v>1455</v>
      </c>
      <c r="O31">
        <f t="shared" ca="1" si="3"/>
        <v>-6.8752076540414091E-3</v>
      </c>
      <c r="P31">
        <f t="shared" ca="1" si="4"/>
        <v>-0.41718094893297064</v>
      </c>
      <c r="Q31" s="2">
        <f t="shared" si="5"/>
        <v>32606.981</v>
      </c>
      <c r="U31">
        <f>+C31-(C$7+F31*C$8)</f>
        <v>1.5287549999993644</v>
      </c>
    </row>
    <row r="32" spans="1:21">
      <c r="A32" s="30" t="s">
        <v>48</v>
      </c>
      <c r="B32" s="31" t="s">
        <v>41</v>
      </c>
      <c r="C32" s="32">
        <v>47847.207999999999</v>
      </c>
      <c r="D32" s="33"/>
      <c r="E32" s="27">
        <f t="shared" si="0"/>
        <v>1477.4488669220223</v>
      </c>
      <c r="F32">
        <f t="shared" si="1"/>
        <v>1477.5</v>
      </c>
      <c r="G32">
        <f>+C32-(C$7+F32*C$8)</f>
        <v>-0.50852250000025379</v>
      </c>
      <c r="I32">
        <f>G32</f>
        <v>-0.50852250000025379</v>
      </c>
      <c r="O32">
        <f t="shared" ca="1" si="3"/>
        <v>-7.1841375111329243E-3</v>
      </c>
      <c r="P32">
        <f t="shared" ca="1" si="4"/>
        <v>-0.41189670339516687</v>
      </c>
      <c r="Q32" s="2">
        <f t="shared" si="5"/>
        <v>32828.707999999999</v>
      </c>
      <c r="S32">
        <f>G32</f>
        <v>-0.50852250000025379</v>
      </c>
    </row>
    <row r="33" spans="1:21">
      <c r="A33" s="27" t="s">
        <v>51</v>
      </c>
      <c r="B33" s="27"/>
      <c r="C33" s="28">
        <v>47859.472000000002</v>
      </c>
      <c r="D33" s="29"/>
      <c r="E33" s="27">
        <f t="shared" si="0"/>
        <v>1478.6820396298513</v>
      </c>
      <c r="F33">
        <f t="shared" si="1"/>
        <v>1478.5</v>
      </c>
      <c r="O33">
        <f t="shared" ca="1" si="3"/>
        <v>-7.1978677270036588E-3</v>
      </c>
      <c r="P33">
        <f t="shared" ca="1" si="4"/>
        <v>-0.41166184803793116</v>
      </c>
      <c r="Q33" s="2">
        <f t="shared" si="5"/>
        <v>32840.972000000002</v>
      </c>
      <c r="U33">
        <f>+C33-(C$7+F33*C$8)</f>
        <v>1.810398499997973</v>
      </c>
    </row>
    <row r="34" spans="1:21">
      <c r="A34" s="27" t="s">
        <v>52</v>
      </c>
      <c r="B34" s="27"/>
      <c r="C34" s="28">
        <v>47928.572</v>
      </c>
      <c r="D34" s="29"/>
      <c r="E34" s="27">
        <f t="shared" si="0"/>
        <v>1485.6301996193292</v>
      </c>
      <c r="F34">
        <f t="shared" si="1"/>
        <v>1485.5</v>
      </c>
      <c r="O34">
        <f t="shared" ca="1" si="3"/>
        <v>-7.2939792380987967E-3</v>
      </c>
      <c r="P34">
        <f t="shared" ca="1" si="4"/>
        <v>-0.41001786053728112</v>
      </c>
      <c r="Q34" s="2">
        <f t="shared" si="5"/>
        <v>32910.072</v>
      </c>
      <c r="U34">
        <f>+C34-(C$7+F34*C$8)</f>
        <v>1.2948455000005197</v>
      </c>
    </row>
    <row r="35" spans="1:21">
      <c r="A35" s="27" t="s">
        <v>52</v>
      </c>
      <c r="B35" s="27"/>
      <c r="C35" s="28">
        <v>47931.468999999997</v>
      </c>
      <c r="D35" s="29"/>
      <c r="E35" s="27">
        <f t="shared" si="0"/>
        <v>1485.9214994672236</v>
      </c>
      <c r="F35">
        <f t="shared" si="1"/>
        <v>1486</v>
      </c>
      <c r="O35">
        <f t="shared" ca="1" si="3"/>
        <v>-7.3008443460341639E-3</v>
      </c>
      <c r="P35">
        <f t="shared" ca="1" si="4"/>
        <v>-0.40990043285866323</v>
      </c>
      <c r="Q35" s="2">
        <f t="shared" si="5"/>
        <v>32912.968999999997</v>
      </c>
      <c r="U35">
        <f>+C35-(C$7+F35*C$8)</f>
        <v>-0.78069400000094902</v>
      </c>
    </row>
    <row r="36" spans="1:21">
      <c r="A36" s="27" t="s">
        <v>52</v>
      </c>
      <c r="B36" s="27"/>
      <c r="C36" s="28">
        <v>47943.466999999997</v>
      </c>
      <c r="D36" s="29"/>
      <c r="E36" s="27">
        <f t="shared" si="0"/>
        <v>1487.1279252784213</v>
      </c>
      <c r="F36">
        <f t="shared" si="1"/>
        <v>1487</v>
      </c>
      <c r="O36">
        <f t="shared" ca="1" si="3"/>
        <v>-7.3145745619048984E-3</v>
      </c>
      <c r="P36">
        <f t="shared" ca="1" si="4"/>
        <v>-0.40966557750142751</v>
      </c>
      <c r="Q36" s="2">
        <f t="shared" si="5"/>
        <v>32924.966999999997</v>
      </c>
      <c r="U36">
        <f>+C36-(C$7+F36*C$8)</f>
        <v>1.2722269999940181</v>
      </c>
    </row>
    <row r="37" spans="1:21">
      <c r="A37" s="36" t="s">
        <v>53</v>
      </c>
      <c r="B37" s="35" t="s">
        <v>43</v>
      </c>
      <c r="C37" s="36">
        <v>48936.691939999997</v>
      </c>
      <c r="D37" s="36">
        <v>2.5999999999999998E-4</v>
      </c>
      <c r="E37" s="27">
        <f t="shared" si="0"/>
        <v>1586.9989207727758</v>
      </c>
      <c r="F37">
        <f t="shared" si="1"/>
        <v>1587</v>
      </c>
      <c r="G37">
        <f>+C37-(C$7+F37*C$8)</f>
        <v>-1.0733000002801418E-2</v>
      </c>
      <c r="I37">
        <f>G37</f>
        <v>-1.0733000002801418E-2</v>
      </c>
      <c r="O37">
        <f t="shared" ca="1" si="3"/>
        <v>-8.6875961489783007E-3</v>
      </c>
      <c r="P37">
        <f t="shared" ca="1" si="4"/>
        <v>-0.3861800417778552</v>
      </c>
      <c r="Q37" s="2">
        <f t="shared" si="5"/>
        <v>33918.191939999997</v>
      </c>
      <c r="R37">
        <f>G37</f>
        <v>-1.0733000002801418E-2</v>
      </c>
    </row>
    <row r="38" spans="1:21">
      <c r="A38" s="27" t="s">
        <v>54</v>
      </c>
      <c r="B38" s="27"/>
      <c r="C38" s="28">
        <v>50080.34</v>
      </c>
      <c r="D38" s="29"/>
      <c r="E38" s="27">
        <f t="shared" si="0"/>
        <v>1701.9952983782227</v>
      </c>
      <c r="F38">
        <f t="shared" si="1"/>
        <v>1702</v>
      </c>
      <c r="G38">
        <f>+C38-(C$7+F38*C$8)</f>
        <v>-4.6758000004047062E-2</v>
      </c>
      <c r="I38">
        <f>G38</f>
        <v>-4.6758000004047062E-2</v>
      </c>
      <c r="O38">
        <f t="shared" ca="1" si="3"/>
        <v>-1.026657097411271E-2</v>
      </c>
      <c r="P38">
        <f t="shared" ca="1" si="4"/>
        <v>-0.35917167569574704</v>
      </c>
      <c r="Q38" s="2">
        <f t="shared" si="5"/>
        <v>35061.839999999997</v>
      </c>
      <c r="R38">
        <f>G38</f>
        <v>-4.6758000004047062E-2</v>
      </c>
    </row>
    <row r="39" spans="1:21">
      <c r="A39" s="30" t="s">
        <v>55</v>
      </c>
      <c r="B39" s="31" t="s">
        <v>43</v>
      </c>
      <c r="C39" s="32">
        <v>51492.589</v>
      </c>
      <c r="D39" s="33"/>
      <c r="E39" s="27">
        <f t="shared" si="0"/>
        <v>1844.0001029654968</v>
      </c>
      <c r="F39">
        <f t="shared" si="1"/>
        <v>1844</v>
      </c>
      <c r="G39">
        <f>+C39-(C$7+F39*C$8)</f>
        <v>1.0240000046906061E-3</v>
      </c>
      <c r="I39">
        <f>G39</f>
        <v>1.0240000046906061E-3</v>
      </c>
      <c r="O39">
        <f t="shared" ca="1" si="3"/>
        <v>-1.2216261627756939E-2</v>
      </c>
      <c r="P39">
        <f t="shared" ca="1" si="4"/>
        <v>-0.32582221496827435</v>
      </c>
      <c r="Q39" s="2">
        <f t="shared" si="5"/>
        <v>36474.089</v>
      </c>
      <c r="R39">
        <f>G39</f>
        <v>1.0240000046906061E-3</v>
      </c>
    </row>
    <row r="40" spans="1:21">
      <c r="A40" s="30" t="s">
        <v>56</v>
      </c>
      <c r="B40" s="31" t="s">
        <v>43</v>
      </c>
      <c r="C40" s="32">
        <v>51631.813999999998</v>
      </c>
      <c r="D40" s="33"/>
      <c r="E40" s="27">
        <f t="shared" si="0"/>
        <v>1857.999488993501</v>
      </c>
      <c r="F40">
        <f t="shared" si="1"/>
        <v>1858</v>
      </c>
      <c r="G40">
        <f>+C40-(C$7+F40*C$8)</f>
        <v>-5.0820000033127144E-3</v>
      </c>
      <c r="I40">
        <f>G40</f>
        <v>-5.0820000033127144E-3</v>
      </c>
      <c r="O40">
        <f t="shared" ca="1" si="3"/>
        <v>-1.2408484649947215E-2</v>
      </c>
      <c r="P40">
        <f t="shared" ca="1" si="4"/>
        <v>-0.32253423996697422</v>
      </c>
      <c r="Q40" s="2">
        <f t="shared" si="5"/>
        <v>36613.313999999998</v>
      </c>
      <c r="R40">
        <f>G40</f>
        <v>-5.0820000033127144E-3</v>
      </c>
    </row>
    <row r="41" spans="1:21">
      <c r="A41" s="30" t="s">
        <v>57</v>
      </c>
      <c r="B41" s="31" t="s">
        <v>43</v>
      </c>
      <c r="C41" s="32">
        <v>54466.156999999999</v>
      </c>
      <c r="D41" s="33"/>
      <c r="E41" s="27">
        <f t="shared" si="0"/>
        <v>2142.999035000124</v>
      </c>
      <c r="F41">
        <f t="shared" si="1"/>
        <v>2143</v>
      </c>
      <c r="G41">
        <f>+C41-(C$7+F41*C$8)</f>
        <v>-9.5970000038505532E-3</v>
      </c>
      <c r="I41">
        <f>G41</f>
        <v>-9.5970000038505532E-3</v>
      </c>
      <c r="O41">
        <f t="shared" ca="1" si="3"/>
        <v>-1.6321596173106405E-2</v>
      </c>
      <c r="P41">
        <f t="shared" ca="1" si="4"/>
        <v>-0.25560046315479312</v>
      </c>
      <c r="Q41" s="2">
        <f t="shared" si="5"/>
        <v>39447.656999999999</v>
      </c>
      <c r="R41">
        <f>G41</f>
        <v>-9.5970000038505532E-3</v>
      </c>
    </row>
    <row r="42" spans="1:21">
      <c r="A42" s="38" t="s">
        <v>63</v>
      </c>
      <c r="B42" s="39" t="s">
        <v>41</v>
      </c>
      <c r="C42" s="40">
        <v>59647.533000000003</v>
      </c>
      <c r="D42" s="38">
        <v>5.0000000000000001E-3</v>
      </c>
      <c r="E42" s="27">
        <f t="shared" ref="E42" si="6">+(C42-C$7)/C$8</f>
        <v>2663.9980134898883</v>
      </c>
      <c r="F42">
        <f t="shared" ref="F42" si="7">ROUND(2*E42,0)/2</f>
        <v>2664</v>
      </c>
      <c r="G42">
        <f>+C42-(C$7+F42*C$8)</f>
        <v>-1.9756000001507346E-2</v>
      </c>
      <c r="I42">
        <f>G42</f>
        <v>-1.9756000001507346E-2</v>
      </c>
      <c r="O42">
        <f t="shared" ref="O42" ca="1" si="8">+C$11+C$12*$F42</f>
        <v>-2.347503864175882E-2</v>
      </c>
      <c r="P42">
        <f t="shared" ref="P42" ca="1" si="9">+D$11+D$12*$F42</f>
        <v>-0.13324082203498144</v>
      </c>
      <c r="Q42" s="2">
        <f t="shared" ref="Q42" si="10">+C42-15018.5</f>
        <v>44629.033000000003</v>
      </c>
      <c r="S42">
        <f>G42</f>
        <v>-1.9756000001507346E-2</v>
      </c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2023-01-17T06:32:46Z</dcterms:modified>
</cp:coreProperties>
</file>